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3B99C21F-EB03-40C9-B252-0D0B37CD79D4}"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Sheet1!$1:$893</definedName>
    <definedName name="_Hlk1048507" localSheetId="0">Sheet1!$H$787</definedName>
    <definedName name="_Hlk511228962">Sheet1!#REF!</definedName>
    <definedName name="_Hlk511229340">Sheet1!#REF!</definedName>
    <definedName name="_Hlk516490095" localSheetId="0">Sheet1!$H$752</definedName>
    <definedName name="_Hlk526934001" localSheetId="0">Sheet1!$F$194</definedName>
    <definedName name="_xlnm.Print_Area" localSheetId="0">Sheet1!$A$1:$AJ$893</definedName>
    <definedName name="Z_0585DD1B_89D4_4278_953B_FA6D57DCCE82_.wvu.FilterData" localSheetId="0" hidden="1">Sheet1!$A$4:$AJ$893</definedName>
    <definedName name="Z_0663978D_0EB1_40D5_9B2D_AA0E4175AE10_.wvu.FilterData" localSheetId="0" hidden="1">Sheet1!$C$1:$C$894</definedName>
    <definedName name="Z_0781B6C2_B440_4971_9809_BD16245A70FD_.wvu.FilterData" localSheetId="0" hidden="1">Sheet1!$A$1:$AJ$433</definedName>
    <definedName name="Z_0781B6C2_B440_4971_9809_BD16245A70FD_.wvu.PrintArea" localSheetId="0" hidden="1">Sheet1!$A$1:$AJ$893</definedName>
    <definedName name="Z_0948D5BA_8172_4FA8_BECB_CED738B20AF4_.wvu.FilterData" localSheetId="0" hidden="1">Sheet1!$A$4:$DE$893</definedName>
    <definedName name="Z_0A043D96_6DF8_4E40_9D1E_818A39BAFD81_.wvu.FilterData" localSheetId="0" hidden="1">Sheet1!$A$4:$AJ$893</definedName>
    <definedName name="Z_0BFEEF2C_C946_41CF_AC23_6881BEA2051C_.wvu.FilterData" localSheetId="0" hidden="1">Sheet1!$A$4:$AJ$893</definedName>
    <definedName name="Z_0D4E932E_8E85_4001_9304_AAB4DBAD8A65_.wvu.FilterData" localSheetId="0" hidden="1">Sheet1!$A$4:$DE$768</definedName>
    <definedName name="Z_122B486E_8EE5_41FD_B958_74B116FA5D23_.wvu.FilterData" localSheetId="0" hidden="1">Sheet1!$A$1:$DE$768</definedName>
    <definedName name="Z_1278E668_633E_4AB5_BA11_904BA4B2301D_.wvu.FilterData" localSheetId="0" hidden="1">Sheet1!$A$1:$DE$768</definedName>
    <definedName name="Z_136D924E_DA88_48BB_818E_2A0E48CDE443_.wvu.FilterData" localSheetId="0" hidden="1">Sheet1!$A$4:$DE$893</definedName>
    <definedName name="Z_13FEC0EB_A6AC_4EB9_BE0B_BA91B5951E65_.wvu.FilterData" localSheetId="0" hidden="1">Sheet1!$A$4:$DE$893</definedName>
    <definedName name="Z_15F03B40_FCDD_463A_AE42_63F6121ACBED_.wvu.FilterData" localSheetId="0" hidden="1">Sheet1!$C$1:$C$893</definedName>
    <definedName name="Z_16C0F8F6_73C2_446B_943F_E6331B612307_.wvu.FilterData" localSheetId="0" hidden="1">Sheet1!$A$1:$DE$816</definedName>
    <definedName name="Z_17F4A6A1_469E_46FB_A3A0_041FC3712E3B_.wvu.FilterData" localSheetId="0" hidden="1">Sheet1!$A$4:$AJ$893</definedName>
    <definedName name="Z_19FC3531_0DA5_4817_A3AD_017115B33D3C_.wvu.FilterData" localSheetId="0" hidden="1">Sheet1!#REF!</definedName>
    <definedName name="Z_1AA32817_7AF7_4644_968C_56F1D5DDD6B5_.wvu.FilterData" localSheetId="0" hidden="1">Sheet1!$A$1:$DE$893</definedName>
    <definedName name="Z_1CC91F84_AEF4_4042_AB5F_6C7D03A1F066_.wvu.FilterData" localSheetId="0" hidden="1">Sheet1!$4:$893</definedName>
    <definedName name="Z_1CC91F84_AEF4_4042_AB5F_6C7D03A1F066_.wvu.PrintArea" localSheetId="0" hidden="1">Sheet1!$A$1:$AJ$893</definedName>
    <definedName name="Z_1D1B5983_ECDA_4FB5_B5BD_5FCDD6AA2303_.wvu.Cols" localSheetId="0" hidden="1">Sheet1!$D:$I</definedName>
    <definedName name="Z_1D1B5983_ECDA_4FB5_B5BD_5FCDD6AA2303_.wvu.FilterData" localSheetId="0" hidden="1">Sheet1!$A$1:$DE$894</definedName>
    <definedName name="Z_1D1B5983_ECDA_4FB5_B5BD_5FCDD6AA2303_.wvu.PrintArea" localSheetId="0" hidden="1">Sheet1!$A$1:$AJ$893</definedName>
    <definedName name="Z_22D79F88_81A2_49FE_923A_13405540BBB2_.wvu.FilterData" localSheetId="0" hidden="1">Sheet1!$A$4:$DE$768</definedName>
    <definedName name="Z_2355B1FA_E7E3_44CD_A529_24812589AA28_.wvu.FilterData" localSheetId="0" hidden="1">Sheet1!$A$4:$AJ$893</definedName>
    <definedName name="Z_2416AE9F_2D01_4174_B7DC_0545588F9C27_.wvu.FilterData" localSheetId="0" hidden="1">Sheet1!$A$1:$AJ$893</definedName>
    <definedName name="Z_250231BB_5F02_4B46_B1CA_B904A9B40BA2_.wvu.FilterData" localSheetId="0" hidden="1">Sheet1!$A$3:$AJ$893</definedName>
    <definedName name="Z_25084D9D_9C92_4823_A653_D1AEC60737AD_.wvu.FilterData" localSheetId="0" hidden="1">Sheet1!$A$4:$DE$768</definedName>
    <definedName name="Z_2547C3D7_22F7_4CAF_8E48_C8F3425DB942_.wvu.FilterData" localSheetId="0" hidden="1">Sheet1!$A$4:$AJ$893</definedName>
    <definedName name="Z_280C391A_EEDA_43A4_BCD2_EE017A1C1AE2_.wvu.FilterData" localSheetId="0" hidden="1">Sheet1!$A$4:$DE$893</definedName>
    <definedName name="Z_29604E0D_C6E2_434A_B2B5_DCD40EFF623F_.wvu.FilterData" localSheetId="0" hidden="1">Sheet1!$A$4:$DE$893</definedName>
    <definedName name="Z_297CB86E_F816_4839_BE0B_A075145D0E50_.wvu.FilterData" localSheetId="0" hidden="1">Sheet1!$A$1:$DE$768</definedName>
    <definedName name="Z_2A26C971_CCE6_49C7_89EC_0B2699E5DD98_.wvu.FilterData" localSheetId="0" hidden="1">Sheet1!$A$4:$AJ$893</definedName>
    <definedName name="Z_2A657C48_B241_4C19_9A74_98ECFC665F2A_.wvu.FilterData" localSheetId="0" hidden="1">Sheet1!$A$4:$DE$893</definedName>
    <definedName name="Z_2C296388_EDB5_4F1F_B0F4_90EC07CCD947_.wvu.FilterData" localSheetId="0" hidden="1">Sheet1!$A$1:$DE$893</definedName>
    <definedName name="Z_2C296388_EDB5_4F1F_B0F4_90EC07CCD947_.wvu.PrintArea" localSheetId="0" hidden="1">Sheet1!$A$1:$AJ$893</definedName>
    <definedName name="Z_2E491347_3C24_4F24_80DE_5DC574AA2438_.wvu.FilterData" localSheetId="0" hidden="1">Sheet1!$A$4:$AJ$893</definedName>
    <definedName name="Z_3051DDA2_2F87_4403_87CC_F6C9C4F5B52F_.wvu.FilterData" localSheetId="0" hidden="1">Sheet1!$A$4:$DE$893</definedName>
    <definedName name="Z_305BEEB9_C99E_4E52_A4AB_56EA1595A366_.wvu.FilterData" localSheetId="0" hidden="1">Sheet1!$A$4:$AJ$893</definedName>
    <definedName name="Z_31567BC0_5366_4F93_AE32_123F006BC234_.wvu.FilterData" localSheetId="0" hidden="1">Sheet1!$A$4:$DE$893</definedName>
    <definedName name="Z_324E461A_DC75_4814_87BA_41F170D0ED0B_.wvu.FilterData" localSheetId="0" hidden="1">Sheet1!$A$4:$AJ$893</definedName>
    <definedName name="Z_33E976A7_3353_44E9_8131_0E68AAF18A21_.wvu.FilterData" localSheetId="0" hidden="1">Sheet1!$A$1:$AJ$893</definedName>
    <definedName name="Z_340EDCDE_FAE5_4319_AEAD_F8264DCA5D27_.wvu.FilterData" localSheetId="0" hidden="1">Sheet1!$A$4:$DE$893</definedName>
    <definedName name="Z_34BB42D3_88F0_437E_91ED_3E3C369B9525_.wvu.FilterData" localSheetId="0" hidden="1">Sheet1!$A$4:$AJ$893</definedName>
    <definedName name="Z_3656F679_79F6_439C_98F9_E05AFC52CE40_.wvu.FilterData" localSheetId="0" hidden="1">Sheet1!$A$4:$DE$893</definedName>
    <definedName name="Z_36624B2D_80F9_4F79_AC4A_B3547C36F23F_.wvu.FilterData" localSheetId="0" hidden="1">Sheet1!$A$4:$DE$893</definedName>
    <definedName name="Z_36624B2D_80F9_4F79_AC4A_B3547C36F23F_.wvu.PrintArea" localSheetId="0" hidden="1">Sheet1!$A$1:$AJ$893</definedName>
    <definedName name="Z_377DA8E3_6D61_4CAB_8EDD_2C41FF81A19E_.wvu.FilterData" localSheetId="0" hidden="1">Sheet1!$A$4:$AJ$893</definedName>
    <definedName name="Z_38C68E87_361F_434A_8BE4_BA2AF4CB3868_.wvu.FilterData" localSheetId="0" hidden="1">Sheet1!$A$4:$AJ$893</definedName>
    <definedName name="Z_3A00607E_664E_4ED3_AB65_1F25AC8DBC86_.wvu.FilterData" localSheetId="0" hidden="1">Sheet1!$C$1:$C$894</definedName>
    <definedName name="Z_3A3E83F9_303A_4CDE_BDDB_A2D752554829_.wvu.FilterData" localSheetId="0" hidden="1">Sheet1!$A$4:$AJ$893</definedName>
    <definedName name="Z_3A5F5F2B_AEA1_437C_9251_4F0D15756423_.wvu.FilterData" localSheetId="0" hidden="1">Sheet1!$A$1:$AJ$893</definedName>
    <definedName name="Z_3AFE79CE_CE75_447D_8C73_1AE63A224CBA_.wvu.FilterData" localSheetId="0" hidden="1">Sheet1!$A$4:$AJ$893</definedName>
    <definedName name="Z_3AFE79CE_CE75_447D_8C73_1AE63A224CBA_.wvu.PrintArea" localSheetId="0" hidden="1">Sheet1!$A$1:$AJ$893</definedName>
    <definedName name="Z_3E15816F_2EBF_42BD_89BB_84C7827E4C28_.wvu.FilterData" localSheetId="0" hidden="1">Sheet1!$A$4:$AJ$893</definedName>
    <definedName name="Z_3E7AD119_0031_4735_857B_FBC0C47AB231_.wvu.FilterData" localSheetId="0" hidden="1">Sheet1!$A$4:$AJ$893</definedName>
    <definedName name="Z_3F70E84F_60E2_4042_91AA_EFB3B23DDDDF_.wvu.FilterData" localSheetId="0" hidden="1">Sheet1!$A$1:$DE$768</definedName>
    <definedName name="Z_406022D5_A780_4A99_8362_68428BA49313_.wvu.FilterData" localSheetId="0" hidden="1">Sheet1!$A$1:$AJ$135</definedName>
    <definedName name="Z_4179C3D9_D1C3_46CD_B643_627525757C5E_.wvu.FilterData" localSheetId="0" hidden="1">Sheet1!$A$1:$AJ$680</definedName>
    <definedName name="Z_417D6CD8_690F_495B_A03E_2A89D52B6CE8_.wvu.FilterData" localSheetId="0" hidden="1">Sheet1!$A$4:$AJ$893</definedName>
    <definedName name="Z_41AA4E5D_9625_4478_B720_2BD6AE34E699_.wvu.FilterData" localSheetId="0" hidden="1">Sheet1!$A$4:$AJ$893</definedName>
    <definedName name="Z_471339A8_E0FA_4CA1_8194_04936068CF02_.wvu.FilterData" localSheetId="0" hidden="1">Sheet1!$A$1:$AJ$893</definedName>
    <definedName name="Z_497C7126_2491_461C_AFC3_03C2E163F15C_.wvu.FilterData" localSheetId="0" hidden="1">Sheet1!$A$4:$DE$768</definedName>
    <definedName name="Z_4AAB8139_F2B6_43E5_8C9F_E607BD4F44E4_.wvu.FilterData" localSheetId="0" hidden="1">Sheet1!$A$1:$AJ$768</definedName>
    <definedName name="Z_4B17E318_54E7_429F_ADB9_77F4B7D2DC42_.wvu.FilterData" localSheetId="0" hidden="1">Sheet1!$A$4:$AJ$893</definedName>
    <definedName name="Z_4B676F92_6D7B_43D7_8EB6_33FF3E7F6B6A_.wvu.FilterData" localSheetId="0" hidden="1">Sheet1!$A$4:$AJ$893</definedName>
    <definedName name="Z_4B7976D2_7781_4E51_BDF6_6AB2114A11DF_.wvu.FilterData" localSheetId="0" hidden="1">Sheet1!$A$4:$DE$893</definedName>
    <definedName name="Z_4BA8C48D_4728_4875_A249_068862BEA31A_.wvu.FilterData" localSheetId="0" hidden="1">Sheet1!$A$1:$DE$893</definedName>
    <definedName name="Z_4C2A0B30_0070_415E_A110_A9BCC2779710_.wvu.FilterData" localSheetId="0" hidden="1">Sheet1!$C$1:$C$893</definedName>
    <definedName name="Z_4FDB167B_D56E_45D4_B120_847D0871AA6B_.wvu.FilterData" localSheetId="0" hidden="1">Sheet1!$A$4:$AJ$893</definedName>
    <definedName name="Z_50FD82E6_2F75_4C53_A6D0_12482428C160_.wvu.FilterData" localSheetId="0" hidden="1">Sheet1!$A$1:$AJ$893</definedName>
    <definedName name="Z_529F67B3_DE0D_4FDC_BFEA_8F16107265EB_.wvu.FilterData" localSheetId="0" hidden="1">Sheet1!$A$4:$AJ$893</definedName>
    <definedName name="Z_53ED3D47_B2C0_43A1_9A1E_F030D529F74C_.wvu.FilterData" localSheetId="0" hidden="1">Sheet1!$A$4:$AJ$893</definedName>
    <definedName name="Z_53ED3D47_B2C0_43A1_9A1E_F030D529F74C_.wvu.PrintArea" localSheetId="0" hidden="1">Sheet1!$A$1:$AJ$893</definedName>
    <definedName name="Z_5789AB6A_B04B_4240_920E_89274E9F5C82_.wvu.FilterData" localSheetId="0" hidden="1">Sheet1!$A$4:$DE$684</definedName>
    <definedName name="Z_59EBF1CB_AF85_469A_B1D0_E57CB0203158_.wvu.FilterData" localSheetId="0" hidden="1">Sheet1!$C$1:$C$893</definedName>
    <definedName name="Z_5A66C3D0_FC57_4AA7_B0C6_C5E9A7DE2A79_.wvu.FilterData" localSheetId="0" hidden="1">Sheet1!$A$4:$AJ$893</definedName>
    <definedName name="Z_5AAA4DFE_88B1_4674_95ED_5FCD7A50BC22_.wvu.FilterData" localSheetId="0" hidden="1">Sheet1!$A$4:$DE$893</definedName>
    <definedName name="Z_5AAA4DFE_88B1_4674_95ED_5FCD7A50BC22_.wvu.PrintArea" localSheetId="0" hidden="1">Sheet1!$A$1:$AJ$893</definedName>
    <definedName name="Z_5E661ABE_E06E_455E_A661_DDD1907219D0_.wvu.FilterData" localSheetId="0" hidden="1">Sheet1!$A$1:$AJ$768</definedName>
    <definedName name="Z_6408B19F_539D_4190_A77D_CCE77E163803_.wvu.FilterData" localSheetId="0" hidden="1">Sheet1!$A$1:$DE$768</definedName>
    <definedName name="Z_65B035E3_87FA_46C5_996E_864F2C8D0EBC_.wvu.Cols" localSheetId="0" hidden="1">Sheet1!$G:$M</definedName>
    <definedName name="Z_65B035E3_87FA_46C5_996E_864F2C8D0EBC_.wvu.FilterData" localSheetId="0" hidden="1">Sheet1!$A$4:$DE$893</definedName>
    <definedName name="Z_65B035E3_87FA_46C5_996E_864F2C8D0EBC_.wvu.PrintArea" localSheetId="0" hidden="1">Sheet1!$A$1:$AJ$893</definedName>
    <definedName name="Z_65C35D6D_934F_4431_BA92_90255FC17BA4_.wvu.FilterData" localSheetId="0" hidden="1">Sheet1!$A$1:$AJ$893</definedName>
    <definedName name="Z_65C35D6D_934F_4431_BA92_90255FC17BA4_.wvu.PrintArea" localSheetId="0" hidden="1">Sheet1!$A$1:$AJ$893</definedName>
    <definedName name="Z_68CBE436_F3A0_4F45_B6A3_D7A57411F3B9_.wvu.FilterData" localSheetId="0" hidden="1">Sheet1!$A$4:$AJ$893</definedName>
    <definedName name="Z_6A81BAE2_3ABE_4D5F_A832_52D0E2F517F4_.wvu.FilterData" localSheetId="0" hidden="1">Sheet1!$A$1:$AJ$893</definedName>
    <definedName name="Z_6ABCD3C6_C29E_4027_B252_6CC3A2739142_.wvu.FilterData" localSheetId="0" hidden="1">Sheet1!$A$4:$AJ$893</definedName>
    <definedName name="Z_6B2EC822_DCDB_4711_A946_1038FC40FACE_.wvu.FilterData" localSheetId="0" hidden="1">Sheet1!$A$1:$DE$768</definedName>
    <definedName name="Z_6C96816B_17C2_4EA9_846E_8E6B5AD26B6D_.wvu.FilterData" localSheetId="0" hidden="1">Sheet1!#REF!</definedName>
    <definedName name="Z_6CE52079_5576_45A5_9A9F_9CA970D849EF_.wvu.FilterData" localSheetId="0" hidden="1">Sheet1!$A$4:$AJ$893</definedName>
    <definedName name="Z_6D5D71F0_C25E_4A20_AAD9_13707D9E0AED_.wvu.FilterData" localSheetId="0" hidden="1">Sheet1!$A$4:$DE$893</definedName>
    <definedName name="Z_6D5D71F0_C25E_4A20_AAD9_13707D9E0AED_.wvu.PrintArea" localSheetId="0" hidden="1">Sheet1!$A$1:$AJ$893</definedName>
    <definedName name="Z_7110BCB5_C242_4006_B056_E3ADAD3578E7_.wvu.FilterData" localSheetId="0" hidden="1">Sheet1!$A$4:$DE$893</definedName>
    <definedName name="Z_747340EB_2B31_46D2_ACDE_4FA91E2B50F6_.wvu.FilterData" localSheetId="0" hidden="1">Sheet1!$A$1:$DE$893</definedName>
    <definedName name="Z_747340EB_2B31_46D2_ACDE_4FA91E2B50F6_.wvu.PrintArea" localSheetId="0" hidden="1">Sheet1!$A$1:$AJ$893</definedName>
    <definedName name="Z_75FC0278_6C09_4E89_A68B_B06C003CBF69_.wvu.FilterData" localSheetId="0" hidden="1">Sheet1!$A$1:$AJ$893</definedName>
    <definedName name="Z_799A65B0_D762_4257_9EEB_02578FD2A697_.wvu.FilterData" localSheetId="0" hidden="1">Sheet1!$C$1:$C$894</definedName>
    <definedName name="Z_7A12EF56_0E17_493A_8E1E_6DFC6553C116_.wvu.FilterData" localSheetId="0" hidden="1">Sheet1!$A$4:$DE$768</definedName>
    <definedName name="Z_7A17A8CA_AF99_4D96_BCEC_898141635826_.wvu.FilterData" localSheetId="0" hidden="1">Sheet1!$A$4:$AJ$893</definedName>
    <definedName name="Z_7C1B4D6D_D666_48DD_AB17_E00791B6F0B6_.wvu.FilterData" localSheetId="0" hidden="1">Sheet1!$4:$893</definedName>
    <definedName name="Z_7C1B4D6D_D666_48DD_AB17_E00791B6F0B6_.wvu.PrintArea" localSheetId="0" hidden="1">Sheet1!$A$1:$AJ$893</definedName>
    <definedName name="Z_7C389A6C_C379_45EF_8779_FEC15F27C7E7_.wvu.FilterData" localSheetId="0" hidden="1">Sheet1!$C$1:$C$893</definedName>
    <definedName name="Z_7C3B80B0_9566_4DDC_9DF7_3BBB2DE77950_.wvu.FilterData" localSheetId="0" hidden="1">Sheet1!$A$1:$AJ$893</definedName>
    <definedName name="Z_7D2F4374_D571_49E4_B659_129D2AFDC43C_.wvu.FilterData" localSheetId="0" hidden="1">Sheet1!$A$4:$AJ$893</definedName>
    <definedName name="Z_7DFDB102_AB8E_41EB_81A4_CD36F3B45121_.wvu.FilterData" localSheetId="0" hidden="1">Sheet1!$A$4:$DE$893</definedName>
    <definedName name="Z_83085181_C77C_4D05_8C8A_9B8FFC5A1DD7_.wvu.FilterData" localSheetId="0" hidden="1">Sheet1!$A$4:$AJ$893</definedName>
    <definedName name="Z_831F7439_6937_483F_B601_184FEF5CECFD_.wvu.FilterData" localSheetId="0" hidden="1">Sheet1!$A$4:$AJ$893</definedName>
    <definedName name="Z_84FB199A_D56E_4FDD_AC4A_70CE86CD87BC_.wvu.FilterData" localSheetId="0" hidden="1">Sheet1!$A$1:$AK$893</definedName>
    <definedName name="Z_84FB199A_D56E_4FDD_AC4A_70CE86CD87BC_.wvu.PrintArea" localSheetId="0" hidden="1">Sheet1!$A$1:$AJ$893</definedName>
    <definedName name="Z_85F3C892_C52D_490E_9A31_2EBB79CFE6B3_.wvu.FilterData" localSheetId="0" hidden="1">Sheet1!$A$4:$DE$893</definedName>
    <definedName name="Z_87F9ACD0_3200_450C_B310_DAAD5FC85307_.wvu.FilterData" localSheetId="0" hidden="1">Sheet1!$A$4:$AJ$893</definedName>
    <definedName name="Z_89EE8E7D_C811_4C16_975A_830983580DAD_.wvu.FilterData" localSheetId="0" hidden="1">Sheet1!$A$4:$DE$893</definedName>
    <definedName name="Z_89F20599_320E_4C2A_9159_8E9F2F24F61C_.wvu.FilterData" localSheetId="0" hidden="1">Sheet1!$A$4:$AJ$893</definedName>
    <definedName name="Z_8A10B14C_0158_4D10_BD20_3EA3BE79AE5C_.wvu.FilterData" localSheetId="0" hidden="1">Sheet1!$A$1:$AJ$893</definedName>
    <definedName name="Z_8AA945B4_D724_4D85_9940_66A1F18CFF54_.wvu.FilterData" localSheetId="0" hidden="1">Sheet1!$A$1:$AJ$893</definedName>
    <definedName name="Z_8EDB8BF9_8BBB_4EEE_B4F0_C5928D0746DD_.wvu.FilterData" localSheetId="0" hidden="1">Sheet1!$A$1:$DE$893</definedName>
    <definedName name="Z_901F9774_8BE7_424D_87C2_1026F3FA2E93_.wvu.FilterData" localSheetId="0" hidden="1">Sheet1!$1:$894</definedName>
    <definedName name="Z_901F9774_8BE7_424D_87C2_1026F3FA2E93_.wvu.PrintArea" localSheetId="0" hidden="1">Sheet1!$A$1:$AJ$893</definedName>
    <definedName name="Z_902D3CAF_0577_4A3F_A86A_C01FD8CA4695_.wvu.FilterData" localSheetId="0" hidden="1">Sheet1!$A$4:$AJ$893</definedName>
    <definedName name="Z_9048650B_365B_48D5_8FC2_A911C6E66865_.wvu.FilterData" localSheetId="0" hidden="1">Sheet1!$A$1:$AJ$893</definedName>
    <definedName name="Z_905D93EA_5662_45AB_8995_A9908B3E5D52_.wvu.FilterData" localSheetId="0" hidden="1">Sheet1!$B$1:$B$894</definedName>
    <definedName name="Z_905D93EA_5662_45AB_8995_A9908B3E5D52_.wvu.PrintArea" localSheetId="0" hidden="1">Sheet1!$A$1:$AJ$893</definedName>
    <definedName name="Z_90D527B8_FE15_48EB_8A8E_6DB0EBF25D81_.wvu.FilterData" localSheetId="0" hidden="1">Sheet1!$A$1:$AJ$893</definedName>
    <definedName name="Z_91199DA1_59E7_4345_8CB7_A1085C901326_.wvu.FilterData" localSheetId="0" hidden="1">Sheet1!$A$4:$AJ$893</definedName>
    <definedName name="Z_91251A9B_6CF6_49E6_857D_BA6C728D7C53_.wvu.FilterData" localSheetId="0" hidden="1">Sheet1!$A$1:$DE$768</definedName>
    <definedName name="Z_9220B091_2E17_41A5_97CA_6AF44BB60369_.wvu.FilterData" localSheetId="0" hidden="1">Sheet1!$A$4:$DE$893</definedName>
    <definedName name="Z_923E7374_9C36_4380_9E0A_313EA2F408F0_.wvu.FilterData" localSheetId="0" hidden="1">Sheet1!$A$4:$AJ$893</definedName>
    <definedName name="Z_9552AAE6_9279_4387_9199_64D0E8A50A87_.wvu.FilterData" localSheetId="0" hidden="1">Sheet1!$A$4:$DE$893</definedName>
    <definedName name="Z_97F6C5A1_2596_4037_A854_1D6AE8A1071E_.wvu.FilterData" localSheetId="0" hidden="1">Sheet1!$A$4:$AJ$893</definedName>
    <definedName name="Z_98856761_4C70_4981_B8AD_C4287D704600_.wvu.FilterData" localSheetId="0" hidden="1">Sheet1!$A$1:$DE$893</definedName>
    <definedName name="Z_9980B309_0131_4577_BF29_212714399FDF_.wvu.FilterData" localSheetId="0" hidden="1">Sheet1!$A$1:$AJ$893</definedName>
    <definedName name="Z_9980B309_0131_4577_BF29_212714399FDF_.wvu.PrintArea" localSheetId="0" hidden="1">Sheet1!$A$1:$AJ$893</definedName>
    <definedName name="Z_99B0F6B4_A00E_4E43_9763_E6AAA385A3A3_.wvu.FilterData" localSheetId="0" hidden="1">Sheet1!$A$4:$AJ$893</definedName>
    <definedName name="Z_9A73B541_5E5D_49AE_9E83_D476C83586E3_.wvu.FilterData" localSheetId="0" hidden="1">Sheet1!$A$4:$AJ$893</definedName>
    <definedName name="Z_9DBBEDFC_B195_46CE_A9AF_AB019B7FD545_.wvu.FilterData" localSheetId="0" hidden="1">Sheet1!$A$4:$DE$893</definedName>
    <definedName name="Z_9DE067B2_E801_456D_B5D0_CD5646CA5948_.wvu.FilterData" localSheetId="0" hidden="1">Sheet1!$A$1:$DE$768</definedName>
    <definedName name="Z_9EA5E3FA_46F1_4729_828C_4A08518018C1_.wvu.FilterData" localSheetId="0" hidden="1">Sheet1!$A$1:$AJ$768</definedName>
    <definedName name="Z_9EA5E3FA_46F1_4729_828C_4A08518018C1_.wvu.PrintArea" localSheetId="0" hidden="1">Sheet1!$A$1:$AJ$893</definedName>
    <definedName name="Z_9F268523_731B_48FE_86AA_1A6382332A83_.wvu.FilterData" localSheetId="0" hidden="1">Sheet1!$A$4:$AJ$893</definedName>
    <definedName name="Z_A093D1FA_1747_4946_A02E_7D721604BB07_.wvu.FilterData" localSheetId="0" hidden="1">Sheet1!$B$1:$B$893</definedName>
    <definedName name="Z_A3134A53_5204_4FFF_BA84_3528D3179C0C_.wvu.FilterData" localSheetId="0" hidden="1">Sheet1!$A$3:$AJ$680</definedName>
    <definedName name="Z_A5B1481C_EF26_486A_984F_85CDDC2FD94F_.wvu.FilterData" localSheetId="0" hidden="1">Sheet1!$A$4:$DE$893</definedName>
    <definedName name="Z_A5B1481C_EF26_486A_984F_85CDDC2FD94F_.wvu.PrintArea" localSheetId="0" hidden="1">Sheet1!$A$1:$AJ$893</definedName>
    <definedName name="Z_A5EFE636_E984_4BB3_BEFD_877FE7A4960F_.wvu.FilterData" localSheetId="0" hidden="1">Sheet1!$A$4:$AJ$893</definedName>
    <definedName name="Z_A87F3E0E_3A8E_4B82_8170_33752259B7DB_.wvu.FilterData" localSheetId="0" hidden="1">Sheet1!$A$4:$AJ$893</definedName>
    <definedName name="Z_A87F3E0E_3A8E_4B82_8170_33752259B7DB_.wvu.PrintArea" localSheetId="0" hidden="1">Sheet1!$A$1:$AJ$893</definedName>
    <definedName name="Z_A9B3B58E_F12B_4916_890B_7D88AA745B81_.wvu.FilterData" localSheetId="0" hidden="1">Sheet1!$A$1:$DE$893</definedName>
    <definedName name="Z_A9C8B68B_7CCD_4DC7_92B4_0CF91200625C_.wvu.FilterData" localSheetId="0" hidden="1">Sheet1!$A$1:$AK$53</definedName>
    <definedName name="Z_AD1D8E66_18A9_4CB7_BBE4_02F7E757257F_.wvu.FilterData" localSheetId="0" hidden="1">Sheet1!$A$1:$DE$893</definedName>
    <definedName name="Z_ADCF07FA_E31E_45AC_A5B3_F3B126787A65_.wvu.FilterData" localSheetId="0" hidden="1">Sheet1!$A$1:$AK$815</definedName>
    <definedName name="Z_AE58BCBC_9F06_4E6C_A28B_2F5626DD7C1B_.wvu.FilterData" localSheetId="0" hidden="1">Sheet1!$A$4:$AJ$893</definedName>
    <definedName name="Z_AE8F3F1B_FDCB_45A5_9CC8_53B4E3A0445E_.wvu.FilterData" localSheetId="0" hidden="1">Sheet1!$A$1:$DE$768</definedName>
    <definedName name="Z_AECBC9F6_D9DE_4043_9C2F_160F7ECDAD3D_.wvu.FilterData" localSheetId="0" hidden="1">Sheet1!$A$4:$AJ$893</definedName>
    <definedName name="Z_B31B819C_CFEB_4B80_9AED_AC603C39BE78_.wvu.FilterData" localSheetId="0" hidden="1">Sheet1!$A$4:$DE$893</definedName>
    <definedName name="Z_B407928D_3938_4D05_B2B2_40B4F21D0436_.wvu.FilterData" localSheetId="0" hidden="1">Sheet1!#REF!</definedName>
    <definedName name="Z_B4445EFA_1A45_4C3B_9EA1_0E0790FECD3E_.wvu.FilterData" localSheetId="0" hidden="1">Sheet1!$A$4:$AJ$893</definedName>
    <definedName name="Z_B5BED753_4D8C_498E_8AE1_A08F7C0956F7_.wvu.FilterData" localSheetId="0" hidden="1">Sheet1!$A$4:$DE$893</definedName>
    <definedName name="Z_B5E00E2B_FB21_48A9_A2B7_06EAAF1DCD1F_.wvu.FilterData" localSheetId="0" hidden="1">Sheet1!$A$1:$AJ$893</definedName>
    <definedName name="Z_B86F2F61_43FD_4B29_80BE_D157A760919E_.wvu.FilterData" localSheetId="0" hidden="1">Sheet1!$A$4:$AJ$893</definedName>
    <definedName name="Z_BB5C630D_1317_4843_984F_E431986514A4_.wvu.FilterData" localSheetId="0" hidden="1">Sheet1!$A$4:$AJ$893</definedName>
    <definedName name="Z_BBF2EF6C_D4AD_46E1_803F_582F4D45F852_.wvu.FilterData" localSheetId="0" hidden="1">Sheet1!$A$1:$DE$893</definedName>
    <definedName name="Z_BDA3804A_96FA_4D9F_AFED_695788A754E9_.wvu.FilterData" localSheetId="0" hidden="1">Sheet1!$A$4:$DE$684</definedName>
    <definedName name="Z_C10084AF_B692_48FA_85A1_6DA070DB4BC7_.wvu.FilterData" localSheetId="0" hidden="1">Sheet1!$A$1:$AJ$433</definedName>
    <definedName name="Z_C19D7685_5857_48C6_97CD_2F755D2B2DF3_.wvu.FilterData" localSheetId="0" hidden="1">Sheet1!$A$1:$AJ$893</definedName>
    <definedName name="Z_C3502361_AD2C_4705_878B_D12169ED60B1_.wvu.FilterData" localSheetId="0" hidden="1">Sheet1!$A$4:$AJ$893</definedName>
    <definedName name="Z_C3502361_AD2C_4705_878B_D12169ED60B1_.wvu.PrintArea" localSheetId="0" hidden="1">Sheet1!$A$1:$AJ$893</definedName>
    <definedName name="Z_C408A2F1_296F_4EAD_B15B_336D73846FDD_.wvu.FilterData" localSheetId="0" hidden="1">Sheet1!$A$1:$AJ$893</definedName>
    <definedName name="Z_C408A2F1_296F_4EAD_B15B_336D73846FDD_.wvu.PrintArea" localSheetId="0" hidden="1">Sheet1!$A$1:$AJ$893</definedName>
    <definedName name="Z_C4E44235_F714_4BCE_B2B0_F4813D3BDF91_.wvu.FilterData" localSheetId="0" hidden="1">Sheet1!$A$4:$AJ$893</definedName>
    <definedName name="Z_C617B00B_5C1E_453A_BF77_BE61E91ACD97_.wvu.FilterData" localSheetId="0" hidden="1">Sheet1!$A$1:$DE$894</definedName>
    <definedName name="Z_C617B00B_5C1E_453A_BF77_BE61E91ACD97_.wvu.PrintArea" localSheetId="0" hidden="1">Sheet1!$A$1:$AJ$893</definedName>
    <definedName name="Z_C71F80D5_B6C1_4ED9_B18D_D719D69F5A47_.wvu.FilterData" localSheetId="0" hidden="1">Sheet1!$A$4:$AJ$893</definedName>
    <definedName name="Z_C90ECED7_D145_417E_BB55_4FC7FD4BF46C_.wvu.FilterData" localSheetId="0" hidden="1">Sheet1!$A$1:$DE$768</definedName>
    <definedName name="Z_CAB79FAE_AA32_4D62_A794_A6DB6513D801_.wvu.FilterData" localSheetId="0" hidden="1">Sheet1!$A$4:$AJ$893</definedName>
    <definedName name="Z_CC4BDE8D_BA98_4771_AE81_02F3DF26285D_.wvu.FilterData" localSheetId="0" hidden="1">Sheet1!$A$1:$AJ$893</definedName>
    <definedName name="Z_CC51448C_22F6_4583_82CD_2835AD1A82D7_.wvu.FilterData" localSheetId="0" hidden="1">Sheet1!$A$1:$AJ$680</definedName>
    <definedName name="Z_CEFAC6F5_4048_4FB5_8E88_A602B5B48691_.wvu.FilterData" localSheetId="0" hidden="1">Sheet1!$A$1:$AJ$135</definedName>
    <definedName name="Z_D14C8FFA_66C9_4AD5_90D4_6B2987347EA7_.wvu.FilterData" localSheetId="0" hidden="1">Sheet1!$A$1:$AJ$135</definedName>
    <definedName name="Z_D1981FDB_7063_4FCF_8DD5_A549E616E6FF_.wvu.FilterData" localSheetId="0" hidden="1">Sheet1!$A$4:$DE$893</definedName>
    <definedName name="Z_D365E121_F95E_415A_8CA0_9EA7ECCC60F5_.wvu.FilterData" localSheetId="0" hidden="1">Sheet1!$A$4:$AJ$893</definedName>
    <definedName name="Z_D3AEB135_5C7C_42C0_A07A_78B57DEB3E5D_.wvu.FilterData" localSheetId="0" hidden="1">Sheet1!$A$1:$AJ$893</definedName>
    <definedName name="Z_D56F5ED6_74F2_4AA3_9A98_EE5750FE63AF_.wvu.FilterData" localSheetId="0" hidden="1">Sheet1!$A$4:$DE$893</definedName>
    <definedName name="Z_D6684B8B_988F_4178_873C_47E3AB7327D0_.wvu.FilterData" localSheetId="0" hidden="1">Sheet1!$A$1:$AJ$893</definedName>
    <definedName name="Z_D802EE0F_98B9_4410_B31B_4ACC0EC9C9BC_.wvu.FilterData" localSheetId="0" hidden="1">Sheet1!$A$4:$AJ$893</definedName>
    <definedName name="Z_D9F6F366_DF3A_42DA_BFCE_91EC88AF7059_.wvu.FilterData" localSheetId="0" hidden="1">Sheet1!$A$4:$DE$893</definedName>
    <definedName name="Z_DA7616F9_5A5C_4D2A_B33C_B1EF83B6751E_.wvu.FilterData" localSheetId="0" hidden="1">Sheet1!$4:$893</definedName>
    <definedName name="Z_DAD27C7B_8B8A_46CB_98B5_59B1D1EFC319_.wvu.FilterData" localSheetId="0" hidden="1">Sheet1!$A$4:$DE$893</definedName>
    <definedName name="Z_DB41C7D7_14F0_4834_A7BD_0F1115A89C8E_.wvu.FilterData" localSheetId="0" hidden="1">Sheet1!$A$4:$DE$893</definedName>
    <definedName name="Z_DB43929D_F4B7_43FF_975F_960476D189E8_.wvu.FilterData" localSheetId="0" hidden="1">Sheet1!$A$4:$AJ$893</definedName>
    <definedName name="Z_DB51BB9F_5710_40B0_80E7_39B059BFD11D_.wvu.FilterData" localSheetId="0" hidden="1">Sheet1!$A$1:$DE$893</definedName>
    <definedName name="Z_DB51BB9F_5710_40B0_80E7_39B059BFD11D_.wvu.PrintArea" localSheetId="0" hidden="1">Sheet1!$A$1:$AJ$893</definedName>
    <definedName name="Z_DD7033C6_3EA7_4E73_ABEA_4285CD1957EA_.wvu.FilterData" localSheetId="0" hidden="1">Sheet1!$A$4:$AJ$893</definedName>
    <definedName name="Z_DD93CA86_AFD6_4C47_828D_70472BFCD288_.wvu.FilterData" localSheetId="0" hidden="1">Sheet1!$A$4:$AJ$893</definedName>
    <definedName name="Z_DE09B69C_7EEF_4060_8E06_F7DEC4B96D7E_.wvu.FilterData" localSheetId="0" hidden="1">Sheet1!$A$4:$AJ$893</definedName>
    <definedName name="Z_E388D237_97F4_4077_98EE_554EA7E7BDFD_.wvu.FilterData" localSheetId="0" hidden="1">Sheet1!$4:$893</definedName>
    <definedName name="Z_E53ADB69_E454_408C_8AAF_7FDA9FEDF6D0_.wvu.FilterData" localSheetId="0" hidden="1">Sheet1!$A$4:$DE$893</definedName>
    <definedName name="Z_E6455570_34BA_413B_82F6_378FA4CCBDF2_.wvu.FilterData" localSheetId="0" hidden="1">Sheet1!$A$4:$AJ$893</definedName>
    <definedName name="Z_E64C6006_DE37_44CA_8083_01C511E323D9_.wvu.FilterData" localSheetId="0" hidden="1">Sheet1!$A$3:$AJ$680</definedName>
    <definedName name="Z_E875C76B_3648_4C9A_A6B2_C3654837AAAC_.wvu.FilterData" localSheetId="0" hidden="1">Sheet1!$A$4:$DE$893</definedName>
    <definedName name="Z_EA64E7D7_BA48_4965_B650_778AE412FE0C_.wvu.FilterData" localSheetId="0" hidden="1">Sheet1!$A$1:$DE$893</definedName>
    <definedName name="Z_EA64E7D7_BA48_4965_B650_778AE412FE0C_.wvu.PrintArea" localSheetId="0" hidden="1">Sheet1!$A$1:$AJ$893</definedName>
    <definedName name="Z_EB0F2E6A_FA33_479E_9A47_8E3494FBB4DE_.wvu.FilterData" localSheetId="0" hidden="1">Sheet1!$A$4:$AJ$893</definedName>
    <definedName name="Z_EB0F2E6A_FA33_479E_9A47_8E3494FBB4DE_.wvu.PrintArea" localSheetId="0" hidden="1">Sheet1!$A$1:$AJ$893</definedName>
    <definedName name="Z_EB688584_325A_400C_AEB8_9170040049B0_.wvu.FilterData" localSheetId="0" hidden="1">Sheet1!$A$1:$AJ$893</definedName>
    <definedName name="Z_EBECCF5E_4B46_43F8_B11C_A2E3D2F626C0_.wvu.FilterData" localSheetId="0" hidden="1">Sheet1!$A$1:$AJ$893</definedName>
    <definedName name="Z_EC924560_B745_4DE3_A0D5_56BE5BB85747_.wvu.FilterData" localSheetId="0" hidden="1">Sheet1!$A$4:$AJ$893</definedName>
    <definedName name="Z_EEA37434_2D22_478B_B49F_C3E8CD4AC2E1_.wvu.FilterData" localSheetId="0" hidden="1">Sheet1!$A$4:$DE$893</definedName>
    <definedName name="Z_EEA37434_2D22_478B_B49F_C3E8CD4AC2E1_.wvu.PrintArea" localSheetId="0" hidden="1">Sheet1!$A$1:$AJ$893</definedName>
    <definedName name="Z_EF10298D_3F59_43F1_9A86_8C1CCA3B5D93_.wvu.FilterData" localSheetId="0" hidden="1">Sheet1!$A$4:$AJ$893</definedName>
    <definedName name="Z_EF10298D_3F59_43F1_9A86_8C1CCA3B5D93_.wvu.PrintArea" localSheetId="0" hidden="1">Sheet1!$A$1:$AJ$893</definedName>
    <definedName name="Z_EFE45138_A2B3_46EB_8A69_D9745D73FBF5_.wvu.FilterData" localSheetId="0" hidden="1">Sheet1!$A$4:$AJ$893</definedName>
    <definedName name="Z_F1FF8598_176D_475F_BFF2_4F9BDA2E6952_.wvu.FilterData" localSheetId="0" hidden="1">Sheet1!$A$1:$AJ$893</definedName>
    <definedName name="Z_F3A1A24F_74AB_497F_AC98_51305A547AD9_.wvu.FilterData" localSheetId="0" hidden="1">Sheet1!$A$4:$AJ$893</definedName>
    <definedName name="Z_F52D90D4_508D_43B6_8295_6D179E5F0FEB_.wvu.FilterData" localSheetId="0" hidden="1">Sheet1!$A$4:$AJ$893</definedName>
    <definedName name="Z_F87A8A59_D53A_435C_8A87_4EC432C7A064_.wvu.FilterData" localSheetId="0" hidden="1">Sheet1!$A$1:$DE$894</definedName>
    <definedName name="Z_F952A18B_3430_4F65_89F2_B7C17998F981_.wvu.FilterData" localSheetId="0" hidden="1">Sheet1!$A$4:$AJ$893</definedName>
    <definedName name="Z_FC0B350C_CDF7_408B_82D9_51AB34E1E398_.wvu.FilterData" localSheetId="0" hidden="1">Sheet1!$A$1:$AJ$893</definedName>
    <definedName name="Z_FCA57096_6DC5_4D66_B221_076BCE14BFDB_.wvu.FilterData" localSheetId="0" hidden="1">Sheet1!$A$4:$AJ$893</definedName>
    <definedName name="Z_FE50EAC0_52A5_4C33_B973_65E93D03D3EA_.wvu.FilterData" localSheetId="0" hidden="1">Sheet1!$A$1:$AJ$893</definedName>
    <definedName name="Z_FE50EAC0_52A5_4C33_B973_65E93D03D3EA_.wvu.PrintArea" localSheetId="0" hidden="1">Sheet1!$A$1:$AJ$893</definedName>
    <definedName name="Z_FFC44E67_8559_4D31_893D_BF5BA4229E04_.wvu.FilterData" localSheetId="0" hidden="1">Sheet1!$A$1:$AJ$768</definedName>
  </definedNames>
  <calcPr calcId="181029" iterate="1"/>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897"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S894" i="1"/>
  <c r="T894" i="1"/>
  <c r="U894" i="1"/>
  <c r="V894" i="1"/>
  <c r="W894" i="1"/>
  <c r="X894" i="1"/>
  <c r="Y894" i="1"/>
  <c r="Z894" i="1"/>
  <c r="AA894" i="1"/>
  <c r="AB894" i="1"/>
  <c r="AC894" i="1"/>
  <c r="AD894" i="1"/>
  <c r="AE894" i="1"/>
  <c r="AI894" i="1"/>
  <c r="AJ894" i="1"/>
  <c r="R894" i="1"/>
  <c r="AI43" i="1" l="1"/>
  <c r="AI853" i="1"/>
  <c r="AI615" i="1"/>
  <c r="AI643" i="1"/>
  <c r="AI454" i="1"/>
  <c r="AI824" i="1"/>
  <c r="AI117" i="1"/>
  <c r="AJ255" i="1"/>
  <c r="AI255" i="1"/>
  <c r="AJ160" i="1"/>
  <c r="AI160" i="1"/>
  <c r="AJ269" i="1"/>
  <c r="AI269" i="1"/>
  <c r="AJ407" i="1"/>
  <c r="AI407" i="1"/>
  <c r="AI408" i="1"/>
  <c r="AJ176" i="1"/>
  <c r="AI176" i="1"/>
  <c r="AJ69" i="1"/>
  <c r="AI69" i="1"/>
  <c r="AJ251" i="1"/>
  <c r="AI251" i="1"/>
  <c r="AJ250" i="1"/>
  <c r="AI250" i="1"/>
  <c r="AJ184" i="1"/>
  <c r="AI184" i="1"/>
  <c r="AJ87" i="1"/>
  <c r="AI87" i="1"/>
  <c r="AJ43" i="1"/>
  <c r="AJ58" i="1"/>
  <c r="AI58" i="1"/>
  <c r="AJ386" i="1"/>
  <c r="AI386" i="1"/>
  <c r="AJ292" i="1"/>
  <c r="AI292" i="1"/>
  <c r="AJ223" i="1"/>
  <c r="AI223" i="1"/>
  <c r="AJ247" i="1"/>
  <c r="AI247" i="1"/>
  <c r="AJ380" i="1"/>
  <c r="AI380" i="1"/>
  <c r="AJ889" i="1"/>
  <c r="AI889" i="1"/>
  <c r="AI599" i="1"/>
  <c r="AI597" i="1"/>
  <c r="AI596" i="1"/>
  <c r="AI602" i="1"/>
  <c r="AI595" i="1"/>
  <c r="AI575" i="1"/>
  <c r="AI574" i="1"/>
  <c r="AI573" i="1"/>
  <c r="AJ465" i="1"/>
  <c r="AI465" i="1"/>
  <c r="AI583" i="1"/>
  <c r="AI582" i="1"/>
  <c r="AI528" i="1"/>
  <c r="AI572" i="1"/>
  <c r="AI538" i="1"/>
  <c r="AJ587" i="1"/>
  <c r="AI587" i="1"/>
  <c r="AJ458" i="1"/>
  <c r="AI458" i="1"/>
  <c r="AJ883" i="1"/>
  <c r="AI883" i="1"/>
  <c r="AI887" i="1"/>
  <c r="AI863" i="1"/>
  <c r="AJ866" i="1"/>
  <c r="AI866" i="1"/>
  <c r="AJ66" i="1"/>
  <c r="AI66" i="1"/>
  <c r="AI213" i="1"/>
  <c r="AJ144" i="1"/>
  <c r="AI144" i="1"/>
  <c r="AJ213" i="1"/>
  <c r="AJ32" i="1"/>
  <c r="AI32" i="1"/>
  <c r="AJ40" i="1"/>
  <c r="AI40" i="1"/>
  <c r="AJ357" i="1"/>
  <c r="AI357" i="1"/>
  <c r="AJ356" i="1"/>
  <c r="AI356" i="1"/>
  <c r="AJ156" i="1"/>
  <c r="AI156" i="1"/>
  <c r="AJ84" i="1"/>
  <c r="AI84" i="1"/>
  <c r="AI855" i="1"/>
  <c r="AI854" i="1"/>
  <c r="AJ881" i="1"/>
  <c r="AI881" i="1"/>
  <c r="AI822" i="1"/>
  <c r="AJ805" i="1"/>
  <c r="AI805" i="1"/>
  <c r="AI812" i="1"/>
  <c r="AI877" i="1"/>
  <c r="AJ839" i="1"/>
  <c r="AI839" i="1"/>
  <c r="AI874" i="1"/>
  <c r="AI826" i="1"/>
  <c r="AI847" i="1"/>
  <c r="AI829" i="1"/>
  <c r="AJ870" i="1"/>
  <c r="AI870" i="1"/>
  <c r="AJ297" i="1"/>
  <c r="AI297" i="1"/>
  <c r="AJ126" i="1"/>
  <c r="AI126" i="1"/>
  <c r="AI789" i="1"/>
  <c r="AJ843" i="1"/>
  <c r="AI843" i="1"/>
  <c r="AI784" i="1"/>
  <c r="AJ842" i="1"/>
  <c r="AI842" i="1"/>
  <c r="AI797" i="1"/>
  <c r="AJ201" i="1"/>
  <c r="AI201" i="1"/>
  <c r="AJ440" i="1"/>
  <c r="AI440" i="1"/>
  <c r="AJ348" i="1"/>
  <c r="AI348" i="1"/>
  <c r="AJ150" i="1"/>
  <c r="AI150" i="1"/>
  <c r="AI691" i="1"/>
  <c r="AI452" i="1"/>
  <c r="AI450" i="1"/>
  <c r="AI653" i="1"/>
  <c r="AI652" i="1"/>
  <c r="U119" i="1"/>
  <c r="X119" i="1"/>
  <c r="R119" i="1"/>
  <c r="R207" i="1"/>
  <c r="U207" i="1"/>
  <c r="X207" i="1"/>
  <c r="AA207" i="1"/>
  <c r="AF119" i="1" l="1"/>
  <c r="AF207" i="1"/>
  <c r="AI884" i="1"/>
  <c r="AI175" i="1"/>
  <c r="AJ891" i="1"/>
  <c r="AI891" i="1"/>
  <c r="AI890" i="1"/>
  <c r="AI268" i="1"/>
  <c r="AJ436" i="1"/>
  <c r="AI436" i="1"/>
  <c r="AJ171" i="1"/>
  <c r="AI171" i="1"/>
  <c r="AJ248" i="1"/>
  <c r="AI248" i="1"/>
  <c r="AJ369" i="1"/>
  <c r="AI369" i="1"/>
  <c r="AJ342" i="1"/>
  <c r="AI342" i="1"/>
  <c r="AJ326" i="1"/>
  <c r="AI326" i="1"/>
  <c r="AJ879" i="1"/>
  <c r="AI879" i="1"/>
  <c r="AJ884" i="1"/>
  <c r="AJ183" i="1"/>
  <c r="AI183" i="1"/>
  <c r="AJ283" i="1"/>
  <c r="AI283" i="1"/>
  <c r="AJ271" i="1"/>
  <c r="AI271" i="1"/>
  <c r="AJ435" i="1"/>
  <c r="AI435" i="1"/>
  <c r="AJ290" i="1"/>
  <c r="AI290" i="1"/>
  <c r="AJ42" i="1"/>
  <c r="AI42" i="1"/>
  <c r="AJ307" i="1"/>
  <c r="AI307" i="1"/>
  <c r="AJ15" i="1"/>
  <c r="AI15" i="1"/>
  <c r="AJ266" i="1"/>
  <c r="AI266" i="1"/>
  <c r="AJ104" i="1"/>
  <c r="AI104" i="1"/>
  <c r="AI831" i="1"/>
  <c r="AJ804" i="1"/>
  <c r="AI804" i="1"/>
  <c r="AI828" i="1"/>
  <c r="AI840" i="1"/>
  <c r="AI882" i="1"/>
  <c r="AJ315" i="1"/>
  <c r="AI315" i="1"/>
  <c r="AJ433" i="1"/>
  <c r="AI433" i="1"/>
  <c r="AJ151" i="1"/>
  <c r="AI151" i="1"/>
  <c r="AJ813" i="1"/>
  <c r="AI813" i="1"/>
  <c r="AJ794" i="1"/>
  <c r="AI794" i="1"/>
  <c r="AI816" i="1"/>
  <c r="AI806" i="1"/>
  <c r="AJ786" i="1"/>
  <c r="AI786" i="1"/>
  <c r="AI802" i="1"/>
  <c r="AJ178" i="1"/>
  <c r="AI178" i="1"/>
  <c r="AJ13" i="1"/>
  <c r="AI13" i="1"/>
  <c r="AI760" i="1"/>
  <c r="AI779" i="1"/>
  <c r="AI638" i="1"/>
  <c r="AA584" i="1"/>
  <c r="X584" i="1"/>
  <c r="U584" i="1"/>
  <c r="R584" i="1"/>
  <c r="L119" i="1" l="1"/>
  <c r="L207" i="1"/>
  <c r="U602" i="1"/>
  <c r="U603" i="1"/>
  <c r="X602" i="1"/>
  <c r="X603" i="1"/>
  <c r="AA602" i="1"/>
  <c r="AA603" i="1"/>
  <c r="R602" i="1"/>
  <c r="R603" i="1"/>
  <c r="R601" i="1"/>
  <c r="U601" i="1"/>
  <c r="X601" i="1"/>
  <c r="AA601" i="1"/>
  <c r="AF584" i="1" l="1"/>
  <c r="L584" i="1"/>
  <c r="AF602" i="1"/>
  <c r="AF603" i="1"/>
  <c r="AF601" i="1"/>
  <c r="R118" i="1"/>
  <c r="U118" i="1"/>
  <c r="X118" i="1"/>
  <c r="U600" i="1"/>
  <c r="X600" i="1"/>
  <c r="AA600" i="1"/>
  <c r="R600" i="1"/>
  <c r="U582" i="1"/>
  <c r="U583" i="1"/>
  <c r="X583" i="1"/>
  <c r="AA582" i="1"/>
  <c r="AA583" i="1"/>
  <c r="X582" i="1"/>
  <c r="R582" i="1"/>
  <c r="R583" i="1"/>
  <c r="AA595" i="1"/>
  <c r="AA596" i="1"/>
  <c r="AA597" i="1"/>
  <c r="AA598" i="1"/>
  <c r="AA599" i="1"/>
  <c r="X595" i="1"/>
  <c r="X596" i="1"/>
  <c r="X597" i="1"/>
  <c r="X598" i="1"/>
  <c r="X599" i="1"/>
  <c r="U595" i="1"/>
  <c r="U596" i="1"/>
  <c r="U597" i="1"/>
  <c r="U598" i="1"/>
  <c r="U599" i="1"/>
  <c r="R595" i="1"/>
  <c r="R596" i="1"/>
  <c r="R597" i="1"/>
  <c r="R598" i="1"/>
  <c r="R599" i="1"/>
  <c r="U580" i="1"/>
  <c r="AA576" i="1"/>
  <c r="AA577" i="1"/>
  <c r="AA578" i="1"/>
  <c r="AA579" i="1"/>
  <c r="AA580" i="1"/>
  <c r="AA581" i="1"/>
  <c r="X576" i="1"/>
  <c r="X577" i="1"/>
  <c r="X578" i="1"/>
  <c r="X579" i="1"/>
  <c r="X580" i="1"/>
  <c r="X581" i="1"/>
  <c r="U576" i="1"/>
  <c r="U577" i="1"/>
  <c r="U578" i="1"/>
  <c r="U579" i="1"/>
  <c r="U581" i="1"/>
  <c r="R576" i="1"/>
  <c r="R577" i="1"/>
  <c r="R578" i="1"/>
  <c r="R579" i="1"/>
  <c r="R580" i="1"/>
  <c r="R581" i="1"/>
  <c r="AF582" i="1" l="1"/>
  <c r="AF118" i="1"/>
  <c r="L603" i="1"/>
  <c r="L602" i="1"/>
  <c r="L601" i="1"/>
  <c r="AF600" i="1"/>
  <c r="AF583" i="1"/>
  <c r="AF581" i="1"/>
  <c r="AF580" i="1"/>
  <c r="L599" i="1"/>
  <c r="AF598" i="1"/>
  <c r="AF597" i="1"/>
  <c r="AF596" i="1"/>
  <c r="AF595" i="1"/>
  <c r="AF579" i="1"/>
  <c r="AF578" i="1"/>
  <c r="AF577" i="1"/>
  <c r="AF576" i="1"/>
  <c r="AJ174" i="1"/>
  <c r="AI174" i="1"/>
  <c r="AJ387" i="1"/>
  <c r="AI387" i="1"/>
  <c r="AJ343" i="1"/>
  <c r="AI343" i="1"/>
  <c r="AJ137" i="1"/>
  <c r="AI137" i="1"/>
  <c r="AJ284" i="1"/>
  <c r="AI284" i="1"/>
  <c r="AJ75" i="1"/>
  <c r="AI75" i="1"/>
  <c r="AI871" i="1"/>
  <c r="AI886" i="1"/>
  <c r="AI859" i="1"/>
  <c r="AJ422" i="1"/>
  <c r="AI422" i="1"/>
  <c r="AJ246" i="1"/>
  <c r="AI246" i="1"/>
  <c r="AJ265" i="1"/>
  <c r="AI265" i="1"/>
  <c r="L581" i="1" l="1"/>
  <c r="L600" i="1"/>
  <c r="L118" i="1"/>
  <c r="L582" i="1"/>
  <c r="L580" i="1"/>
  <c r="L583" i="1"/>
  <c r="AF599" i="1"/>
  <c r="L598" i="1"/>
  <c r="L597" i="1"/>
  <c r="L596" i="1"/>
  <c r="L595" i="1"/>
  <c r="L579" i="1"/>
  <c r="L578" i="1"/>
  <c r="L577" i="1"/>
  <c r="L576" i="1"/>
  <c r="AJ128" i="1"/>
  <c r="AI128" i="1"/>
  <c r="AJ212" i="1"/>
  <c r="AI212" i="1"/>
  <c r="AJ358" i="1"/>
  <c r="AI358" i="1"/>
  <c r="AJ153" i="1"/>
  <c r="AI153" i="1"/>
  <c r="AJ222" i="1"/>
  <c r="AI222" i="1"/>
  <c r="AI869" i="1"/>
  <c r="AI810" i="1"/>
  <c r="AJ873" i="1"/>
  <c r="AI873" i="1"/>
  <c r="AI282" i="1"/>
  <c r="AJ316" i="1"/>
  <c r="AI316" i="1"/>
  <c r="AJ73" i="1"/>
  <c r="AI73" i="1"/>
  <c r="AI140" i="1"/>
  <c r="AI800" i="1"/>
  <c r="AJ801" i="1"/>
  <c r="AI801" i="1"/>
  <c r="AI796" i="1"/>
  <c r="AI787" i="1"/>
  <c r="AI777" i="1"/>
  <c r="AI835" i="1"/>
  <c r="AI211" i="1"/>
  <c r="AI238" i="1"/>
  <c r="AI782" i="1"/>
  <c r="AI687" i="1"/>
  <c r="AI729" i="1"/>
  <c r="U575" i="1"/>
  <c r="X575" i="1"/>
  <c r="AA575" i="1"/>
  <c r="R575" i="1"/>
  <c r="X117" i="1"/>
  <c r="U117" i="1"/>
  <c r="R117" i="1"/>
  <c r="AF575" i="1" l="1"/>
  <c r="AF117" i="1"/>
  <c r="AA570" i="1"/>
  <c r="AA571" i="1"/>
  <c r="AA572" i="1"/>
  <c r="AA573" i="1"/>
  <c r="AA574" i="1"/>
  <c r="X570" i="1"/>
  <c r="X571" i="1"/>
  <c r="X572" i="1"/>
  <c r="X573" i="1"/>
  <c r="X574" i="1"/>
  <c r="U570" i="1"/>
  <c r="U571" i="1"/>
  <c r="U572" i="1"/>
  <c r="U573" i="1"/>
  <c r="U574" i="1"/>
  <c r="R570" i="1"/>
  <c r="R571" i="1"/>
  <c r="R572" i="1"/>
  <c r="R573" i="1"/>
  <c r="R574" i="1"/>
  <c r="AA562" i="1"/>
  <c r="AA563" i="1"/>
  <c r="AA564" i="1"/>
  <c r="AA565" i="1"/>
  <c r="AA566" i="1"/>
  <c r="AA567" i="1"/>
  <c r="AA568" i="1"/>
  <c r="AA569" i="1"/>
  <c r="X562" i="1"/>
  <c r="X563" i="1"/>
  <c r="X564" i="1"/>
  <c r="X565" i="1"/>
  <c r="X566" i="1"/>
  <c r="X567" i="1"/>
  <c r="X568" i="1"/>
  <c r="X569" i="1"/>
  <c r="U562" i="1"/>
  <c r="U563" i="1"/>
  <c r="U564" i="1"/>
  <c r="U565" i="1"/>
  <c r="U566" i="1"/>
  <c r="U567" i="1"/>
  <c r="U568" i="1"/>
  <c r="U569" i="1"/>
  <c r="R562" i="1"/>
  <c r="R563" i="1"/>
  <c r="R564" i="1"/>
  <c r="R565" i="1"/>
  <c r="R566" i="1"/>
  <c r="R567" i="1"/>
  <c r="R568" i="1"/>
  <c r="R569" i="1"/>
  <c r="R594" i="1"/>
  <c r="U594" i="1"/>
  <c r="X594" i="1"/>
  <c r="AA594" i="1"/>
  <c r="L564" i="1" l="1"/>
  <c r="L117" i="1"/>
  <c r="AF569" i="1"/>
  <c r="L568" i="1"/>
  <c r="L567" i="1"/>
  <c r="L566" i="1"/>
  <c r="L565" i="1"/>
  <c r="L575" i="1"/>
  <c r="AF574" i="1"/>
  <c r="AF570" i="1"/>
  <c r="AF573" i="1"/>
  <c r="AF571" i="1"/>
  <c r="AF572" i="1"/>
  <c r="AF563" i="1"/>
  <c r="U555" i="1"/>
  <c r="U556" i="1"/>
  <c r="U557" i="1"/>
  <c r="U558" i="1"/>
  <c r="U559" i="1"/>
  <c r="U560" i="1"/>
  <c r="U561" i="1"/>
  <c r="X555" i="1"/>
  <c r="X556" i="1"/>
  <c r="X557" i="1"/>
  <c r="X558" i="1"/>
  <c r="X559" i="1"/>
  <c r="X560" i="1"/>
  <c r="X561" i="1"/>
  <c r="AA555" i="1"/>
  <c r="AA556" i="1"/>
  <c r="AA557" i="1"/>
  <c r="AA558" i="1"/>
  <c r="AA559" i="1"/>
  <c r="AA560" i="1"/>
  <c r="AA561" i="1"/>
  <c r="R555" i="1"/>
  <c r="R556" i="1"/>
  <c r="R557" i="1"/>
  <c r="R558" i="1"/>
  <c r="R559" i="1"/>
  <c r="R560" i="1"/>
  <c r="R561" i="1"/>
  <c r="U551" i="1"/>
  <c r="X546" i="1"/>
  <c r="U545" i="1"/>
  <c r="U546" i="1"/>
  <c r="U547" i="1"/>
  <c r="U548" i="1"/>
  <c r="U549" i="1"/>
  <c r="U550" i="1"/>
  <c r="U552" i="1"/>
  <c r="U553" i="1"/>
  <c r="U554" i="1"/>
  <c r="X545" i="1"/>
  <c r="X547" i="1"/>
  <c r="X548" i="1"/>
  <c r="X549" i="1"/>
  <c r="X550" i="1"/>
  <c r="X551" i="1"/>
  <c r="X552" i="1"/>
  <c r="X553" i="1"/>
  <c r="X554" i="1"/>
  <c r="AA545" i="1"/>
  <c r="AA546" i="1"/>
  <c r="AA547" i="1"/>
  <c r="AA548" i="1"/>
  <c r="AA549" i="1"/>
  <c r="AA550" i="1"/>
  <c r="AA551" i="1"/>
  <c r="AA552" i="1"/>
  <c r="AA553" i="1"/>
  <c r="AA554" i="1"/>
  <c r="R545" i="1"/>
  <c r="R546" i="1"/>
  <c r="R547" i="1"/>
  <c r="R548" i="1"/>
  <c r="R549" i="1"/>
  <c r="R550" i="1"/>
  <c r="R551" i="1"/>
  <c r="R552" i="1"/>
  <c r="R553" i="1"/>
  <c r="R554" i="1"/>
  <c r="AF565" i="1" l="1"/>
  <c r="AF564" i="1"/>
  <c r="AF567" i="1"/>
  <c r="AF568" i="1"/>
  <c r="L569" i="1"/>
  <c r="AF566" i="1"/>
  <c r="AF553" i="1"/>
  <c r="L545" i="1"/>
  <c r="L555" i="1"/>
  <c r="L557" i="1"/>
  <c r="L574" i="1"/>
  <c r="L573" i="1"/>
  <c r="L570" i="1"/>
  <c r="L571" i="1"/>
  <c r="L572" i="1"/>
  <c r="L563" i="1"/>
  <c r="AF562" i="1"/>
  <c r="L562" i="1"/>
  <c r="AF594" i="1"/>
  <c r="L594" i="1"/>
  <c r="AF559" i="1"/>
  <c r="L558" i="1"/>
  <c r="L561" i="1"/>
  <c r="AF560" i="1"/>
  <c r="L552" i="1"/>
  <c r="AF549" i="1"/>
  <c r="AF548" i="1"/>
  <c r="L551" i="1"/>
  <c r="L547" i="1"/>
  <c r="AF554" i="1"/>
  <c r="AF550" i="1"/>
  <c r="AF546" i="1"/>
  <c r="AA116" i="1"/>
  <c r="AA115" i="1"/>
  <c r="AA114" i="1"/>
  <c r="X114" i="1"/>
  <c r="X115" i="1"/>
  <c r="X116" i="1"/>
  <c r="U114" i="1"/>
  <c r="U115" i="1"/>
  <c r="U116" i="1"/>
  <c r="R114" i="1"/>
  <c r="R115" i="1"/>
  <c r="R116" i="1"/>
  <c r="AF555" i="1" l="1"/>
  <c r="L553" i="1"/>
  <c r="AF545" i="1"/>
  <c r="L546" i="1"/>
  <c r="AF557" i="1"/>
  <c r="AF558" i="1"/>
  <c r="AF561" i="1"/>
  <c r="L559" i="1"/>
  <c r="L560" i="1"/>
  <c r="L556" i="1"/>
  <c r="AF556" i="1"/>
  <c r="AF552" i="1"/>
  <c r="AF551" i="1"/>
  <c r="L550" i="1"/>
  <c r="L549" i="1"/>
  <c r="L548" i="1"/>
  <c r="AF547" i="1"/>
  <c r="L554" i="1"/>
  <c r="L114" i="1"/>
  <c r="AF116" i="1"/>
  <c r="R593" i="1"/>
  <c r="U593" i="1"/>
  <c r="X593" i="1"/>
  <c r="AA593" i="1"/>
  <c r="L116" i="1" l="1"/>
  <c r="AF115" i="1"/>
  <c r="L115" i="1"/>
  <c r="AF114" i="1"/>
  <c r="L593" i="1"/>
  <c r="AA592" i="1"/>
  <c r="X592" i="1"/>
  <c r="U592" i="1"/>
  <c r="R592" i="1"/>
  <c r="AF593" i="1" l="1"/>
  <c r="AF592" i="1"/>
  <c r="R531" i="1"/>
  <c r="R532" i="1"/>
  <c r="R533" i="1"/>
  <c r="R534" i="1"/>
  <c r="R535" i="1"/>
  <c r="R536" i="1"/>
  <c r="R537" i="1"/>
  <c r="R538" i="1"/>
  <c r="R539" i="1"/>
  <c r="R540" i="1"/>
  <c r="R541" i="1"/>
  <c r="R542" i="1"/>
  <c r="R543" i="1"/>
  <c r="R544" i="1"/>
  <c r="U531" i="1"/>
  <c r="U532" i="1"/>
  <c r="U533" i="1"/>
  <c r="U534" i="1"/>
  <c r="U535" i="1"/>
  <c r="U536" i="1"/>
  <c r="U537" i="1"/>
  <c r="U538" i="1"/>
  <c r="U539" i="1"/>
  <c r="U540" i="1"/>
  <c r="U541" i="1"/>
  <c r="U542" i="1"/>
  <c r="U543" i="1"/>
  <c r="U544" i="1"/>
  <c r="X531" i="1"/>
  <c r="X532" i="1"/>
  <c r="X533" i="1"/>
  <c r="X534" i="1"/>
  <c r="X535" i="1"/>
  <c r="X536" i="1"/>
  <c r="X537" i="1"/>
  <c r="X538" i="1"/>
  <c r="X539" i="1"/>
  <c r="X540" i="1"/>
  <c r="X541" i="1"/>
  <c r="X542" i="1"/>
  <c r="X543" i="1"/>
  <c r="X544" i="1"/>
  <c r="AA531" i="1"/>
  <c r="AA532" i="1"/>
  <c r="AA533" i="1"/>
  <c r="AA534" i="1"/>
  <c r="AA535" i="1"/>
  <c r="AA536" i="1"/>
  <c r="AA537" i="1"/>
  <c r="AA538" i="1"/>
  <c r="AA539" i="1"/>
  <c r="AA540" i="1"/>
  <c r="AA541" i="1"/>
  <c r="AA542" i="1"/>
  <c r="AA543" i="1"/>
  <c r="AA544" i="1"/>
  <c r="AJ391" i="1"/>
  <c r="AI391" i="1"/>
  <c r="AJ389" i="1"/>
  <c r="AI389" i="1"/>
  <c r="AJ393" i="1"/>
  <c r="AI393" i="1"/>
  <c r="AJ230" i="1"/>
  <c r="AI230" i="1"/>
  <c r="AJ19" i="1"/>
  <c r="AI19" i="1"/>
  <c r="AJ325" i="1"/>
  <c r="AI325" i="1"/>
  <c r="AJ68" i="1"/>
  <c r="AI68" i="1"/>
  <c r="AJ872" i="1"/>
  <c r="AI872" i="1"/>
  <c r="AF544" i="1" l="1"/>
  <c r="AF539" i="1"/>
  <c r="AF535" i="1"/>
  <c r="AF543" i="1"/>
  <c r="L542" i="1"/>
  <c r="L592" i="1"/>
  <c r="AF532" i="1"/>
  <c r="AF541" i="1"/>
  <c r="AF540" i="1"/>
  <c r="AF538" i="1"/>
  <c r="AF537" i="1"/>
  <c r="AF536" i="1"/>
  <c r="AF534" i="1"/>
  <c r="AF533" i="1"/>
  <c r="AF531" i="1"/>
  <c r="AJ170" i="1"/>
  <c r="AI170" i="1"/>
  <c r="AJ169" i="1"/>
  <c r="AI169" i="1"/>
  <c r="AJ85" i="1"/>
  <c r="AI85" i="1"/>
  <c r="AJ352" i="1"/>
  <c r="AI352" i="1"/>
  <c r="AI142" i="1"/>
  <c r="AJ168" i="1"/>
  <c r="AI168" i="1"/>
  <c r="AJ154" i="1"/>
  <c r="AI154" i="1"/>
  <c r="AJ442" i="1"/>
  <c r="AI442" i="1"/>
  <c r="AJ263" i="1"/>
  <c r="AI263" i="1"/>
  <c r="AI245" i="1"/>
  <c r="AJ302" i="1"/>
  <c r="AI302" i="1"/>
  <c r="AJ359" i="1"/>
  <c r="AI359" i="1"/>
  <c r="AI851" i="1"/>
  <c r="AI846" i="1"/>
  <c r="AJ869" i="1"/>
  <c r="AI865" i="1"/>
  <c r="AJ830" i="1"/>
  <c r="AI830" i="1"/>
  <c r="AI827" i="1"/>
  <c r="AJ880" i="1"/>
  <c r="AI880" i="1"/>
  <c r="AI857" i="1"/>
  <c r="AI825" i="1"/>
  <c r="AJ101" i="1"/>
  <c r="AI101" i="1"/>
  <c r="AJ385" i="1"/>
  <c r="AI385" i="1"/>
  <c r="AJ282" i="1"/>
  <c r="AJ99" i="1"/>
  <c r="AI99" i="1"/>
  <c r="AJ339" i="1"/>
  <c r="AI339" i="1"/>
  <c r="AJ140" i="1"/>
  <c r="AJ31" i="1"/>
  <c r="AI31" i="1"/>
  <c r="AI795" i="1"/>
  <c r="AI808" i="1"/>
  <c r="AI807" i="1"/>
  <c r="AJ796" i="1"/>
  <c r="AJ791" i="1"/>
  <c r="AI791" i="1"/>
  <c r="AJ824" i="1"/>
  <c r="AI809" i="1"/>
  <c r="AI823" i="1"/>
  <c r="AJ793" i="1"/>
  <c r="AI793" i="1"/>
  <c r="AJ803" i="1"/>
  <c r="AI803" i="1"/>
  <c r="AJ289" i="1"/>
  <c r="AI289" i="1"/>
  <c r="AI194" i="1"/>
  <c r="AJ276" i="1"/>
  <c r="AI276" i="1"/>
  <c r="AI778" i="1"/>
  <c r="AI676" i="1"/>
  <c r="AI644" i="1"/>
  <c r="R520" i="1"/>
  <c r="R521" i="1"/>
  <c r="R522" i="1"/>
  <c r="R523" i="1"/>
  <c r="R524" i="1"/>
  <c r="R525" i="1"/>
  <c r="R526" i="1"/>
  <c r="R527" i="1"/>
  <c r="R528" i="1"/>
  <c r="R529" i="1"/>
  <c r="R530" i="1"/>
  <c r="U520" i="1"/>
  <c r="U521" i="1"/>
  <c r="U522" i="1"/>
  <c r="U523" i="1"/>
  <c r="U524" i="1"/>
  <c r="U525" i="1"/>
  <c r="U526" i="1"/>
  <c r="U527" i="1"/>
  <c r="U528" i="1"/>
  <c r="U529" i="1"/>
  <c r="U530" i="1"/>
  <c r="X521" i="1"/>
  <c r="X522" i="1"/>
  <c r="X523" i="1"/>
  <c r="X524" i="1"/>
  <c r="X525" i="1"/>
  <c r="X526" i="1"/>
  <c r="X527" i="1"/>
  <c r="X528" i="1"/>
  <c r="X529" i="1"/>
  <c r="X530" i="1"/>
  <c r="X520" i="1"/>
  <c r="AA520" i="1"/>
  <c r="AA521" i="1"/>
  <c r="AA522" i="1"/>
  <c r="AA523" i="1"/>
  <c r="AA524" i="1"/>
  <c r="AA525" i="1"/>
  <c r="AA526" i="1"/>
  <c r="AA527" i="1"/>
  <c r="AA528" i="1"/>
  <c r="AA529" i="1"/>
  <c r="AA530" i="1"/>
  <c r="L535" i="1" l="1"/>
  <c r="L544" i="1"/>
  <c r="L539" i="1"/>
  <c r="L543" i="1"/>
  <c r="L532" i="1"/>
  <c r="AF542" i="1"/>
  <c r="L531" i="1"/>
  <c r="L537" i="1"/>
  <c r="L541" i="1"/>
  <c r="L540" i="1"/>
  <c r="L538" i="1"/>
  <c r="L536" i="1"/>
  <c r="L534" i="1"/>
  <c r="L533" i="1"/>
  <c r="AF528" i="1"/>
  <c r="L527" i="1"/>
  <c r="L526" i="1"/>
  <c r="L523" i="1"/>
  <c r="AF520" i="1"/>
  <c r="L529" i="1"/>
  <c r="AF525" i="1"/>
  <c r="L530" i="1"/>
  <c r="AF524" i="1"/>
  <c r="R518" i="1"/>
  <c r="R519" i="1"/>
  <c r="U518" i="1"/>
  <c r="U519" i="1"/>
  <c r="X519" i="1"/>
  <c r="X518" i="1"/>
  <c r="AA518" i="1"/>
  <c r="AA519" i="1"/>
  <c r="X517" i="1"/>
  <c r="AA517" i="1"/>
  <c r="U517" i="1"/>
  <c r="R517" i="1"/>
  <c r="X282" i="1"/>
  <c r="R516" i="1"/>
  <c r="U516" i="1"/>
  <c r="X516" i="1"/>
  <c r="AA516" i="1"/>
  <c r="R515" i="1"/>
  <c r="U515" i="1"/>
  <c r="X515" i="1"/>
  <c r="AA515" i="1"/>
  <c r="AA514" i="1"/>
  <c r="X514" i="1"/>
  <c r="U514" i="1"/>
  <c r="R514" i="1"/>
  <c r="R513" i="1"/>
  <c r="U513" i="1"/>
  <c r="X513" i="1"/>
  <c r="AA513" i="1"/>
  <c r="AA512" i="1"/>
  <c r="X512" i="1"/>
  <c r="U512" i="1"/>
  <c r="R512" i="1"/>
  <c r="R511" i="1"/>
  <c r="U511" i="1"/>
  <c r="X511" i="1"/>
  <c r="AA511" i="1"/>
  <c r="AA510" i="1"/>
  <c r="X510" i="1"/>
  <c r="U510" i="1"/>
  <c r="R510" i="1"/>
  <c r="L522" i="1" l="1"/>
  <c r="L520" i="1"/>
  <c r="AF529" i="1"/>
  <c r="AF517" i="1"/>
  <c r="AF515" i="1"/>
  <c r="AF530" i="1"/>
  <c r="L528" i="1"/>
  <c r="AF527" i="1"/>
  <c r="AF526" i="1"/>
  <c r="L525" i="1"/>
  <c r="AF523" i="1"/>
  <c r="AF522" i="1"/>
  <c r="L524" i="1"/>
  <c r="AF521" i="1"/>
  <c r="L521" i="1"/>
  <c r="AF518" i="1"/>
  <c r="AF519" i="1"/>
  <c r="AF512" i="1"/>
  <c r="AF516" i="1"/>
  <c r="AF510" i="1"/>
  <c r="AF514" i="1"/>
  <c r="AA509" i="1"/>
  <c r="X509" i="1"/>
  <c r="U509" i="1"/>
  <c r="R509" i="1"/>
  <c r="AA508" i="1"/>
  <c r="X508" i="1"/>
  <c r="U508" i="1"/>
  <c r="R508" i="1"/>
  <c r="AA507" i="1"/>
  <c r="X507" i="1"/>
  <c r="U507" i="1"/>
  <c r="R507" i="1"/>
  <c r="AA506" i="1"/>
  <c r="X506" i="1"/>
  <c r="U506" i="1"/>
  <c r="R506" i="1"/>
  <c r="AA505" i="1"/>
  <c r="X505" i="1"/>
  <c r="U505" i="1"/>
  <c r="R505" i="1"/>
  <c r="AA504" i="1"/>
  <c r="X504" i="1"/>
  <c r="U504" i="1"/>
  <c r="R504" i="1"/>
  <c r="AA503" i="1"/>
  <c r="X503" i="1"/>
  <c r="U503" i="1"/>
  <c r="R503" i="1"/>
  <c r="AA591" i="1"/>
  <c r="X591" i="1"/>
  <c r="U591" i="1"/>
  <c r="R591" i="1"/>
  <c r="AA502" i="1"/>
  <c r="X502" i="1"/>
  <c r="U502" i="1"/>
  <c r="R502" i="1"/>
  <c r="L516" i="1" l="1"/>
  <c r="L515" i="1"/>
  <c r="L517" i="1"/>
  <c r="L518" i="1"/>
  <c r="L514" i="1"/>
  <c r="L519" i="1"/>
  <c r="AF502" i="1"/>
  <c r="AF507" i="1"/>
  <c r="AF505" i="1"/>
  <c r="AF506" i="1"/>
  <c r="L512" i="1"/>
  <c r="AF591" i="1"/>
  <c r="L510" i="1"/>
  <c r="AF503" i="1"/>
  <c r="L508" i="1"/>
  <c r="AF509" i="1"/>
  <c r="AF511" i="1"/>
  <c r="L511" i="1"/>
  <c r="AF513" i="1"/>
  <c r="L513" i="1"/>
  <c r="AA500" i="1"/>
  <c r="AA501" i="1"/>
  <c r="X501" i="1"/>
  <c r="X500" i="1"/>
  <c r="U501" i="1"/>
  <c r="R500" i="1"/>
  <c r="R501" i="1"/>
  <c r="U500" i="1"/>
  <c r="AA499" i="1"/>
  <c r="X499" i="1"/>
  <c r="U499" i="1"/>
  <c r="R499" i="1"/>
  <c r="R498" i="1"/>
  <c r="U498" i="1"/>
  <c r="X498" i="1"/>
  <c r="AA498" i="1"/>
  <c r="AA497" i="1"/>
  <c r="X497" i="1"/>
  <c r="U497" i="1"/>
  <c r="R497" i="1"/>
  <c r="R496" i="1"/>
  <c r="U496" i="1"/>
  <c r="X496" i="1"/>
  <c r="AA496" i="1"/>
  <c r="AA495" i="1"/>
  <c r="X495" i="1"/>
  <c r="U495" i="1"/>
  <c r="R495" i="1"/>
  <c r="L506" i="1" l="1"/>
  <c r="L591" i="1"/>
  <c r="L505" i="1"/>
  <c r="L507" i="1"/>
  <c r="L509" i="1"/>
  <c r="L502" i="1"/>
  <c r="AF508" i="1"/>
  <c r="L504" i="1"/>
  <c r="AF504" i="1"/>
  <c r="L503" i="1"/>
  <c r="AF497" i="1"/>
  <c r="AF500" i="1"/>
  <c r="L495" i="1"/>
  <c r="AF498" i="1"/>
  <c r="AF496" i="1"/>
  <c r="R494" i="1"/>
  <c r="U494" i="1"/>
  <c r="X494" i="1"/>
  <c r="AA494" i="1"/>
  <c r="AA493" i="1"/>
  <c r="X493" i="1"/>
  <c r="U493" i="1"/>
  <c r="R493" i="1"/>
  <c r="AA492" i="1"/>
  <c r="X492" i="1"/>
  <c r="U492" i="1"/>
  <c r="R492" i="1"/>
  <c r="AA491" i="1"/>
  <c r="X491" i="1"/>
  <c r="U491" i="1"/>
  <c r="R491" i="1"/>
  <c r="AA490" i="1"/>
  <c r="X490" i="1"/>
  <c r="U490" i="1"/>
  <c r="R490" i="1"/>
  <c r="AA489" i="1"/>
  <c r="X489" i="1"/>
  <c r="U489" i="1"/>
  <c r="R489" i="1"/>
  <c r="R585" i="1"/>
  <c r="R586" i="1"/>
  <c r="R587" i="1"/>
  <c r="R588" i="1"/>
  <c r="R589" i="1"/>
  <c r="R590" i="1"/>
  <c r="R604" i="1"/>
  <c r="R605" i="1"/>
  <c r="AA488" i="1"/>
  <c r="X488" i="1"/>
  <c r="U488" i="1"/>
  <c r="R488" i="1"/>
  <c r="AA487" i="1"/>
  <c r="X487" i="1"/>
  <c r="U487" i="1"/>
  <c r="R487" i="1"/>
  <c r="L497" i="1" l="1"/>
  <c r="AF495" i="1"/>
  <c r="L496" i="1"/>
  <c r="L500" i="1"/>
  <c r="AF501" i="1"/>
  <c r="L501" i="1"/>
  <c r="L499" i="1"/>
  <c r="AF499" i="1"/>
  <c r="AF490" i="1"/>
  <c r="AF492" i="1"/>
  <c r="AF493" i="1"/>
  <c r="AF491" i="1"/>
  <c r="L498" i="1"/>
  <c r="AF488" i="1"/>
  <c r="AF487" i="1"/>
  <c r="AF489" i="1"/>
  <c r="AA486" i="1"/>
  <c r="X486" i="1"/>
  <c r="U486" i="1"/>
  <c r="R486" i="1"/>
  <c r="AA485" i="1"/>
  <c r="X485" i="1"/>
  <c r="U485" i="1"/>
  <c r="R485" i="1"/>
  <c r="AA590" i="1"/>
  <c r="X590" i="1"/>
  <c r="U590" i="1"/>
  <c r="AA589" i="1"/>
  <c r="X589" i="1"/>
  <c r="U589" i="1"/>
  <c r="U588" i="1"/>
  <c r="AA588" i="1"/>
  <c r="X588" i="1"/>
  <c r="L492" i="1" l="1"/>
  <c r="L493" i="1"/>
  <c r="L487" i="1"/>
  <c r="L491" i="1"/>
  <c r="L490" i="1"/>
  <c r="L489" i="1"/>
  <c r="AF494" i="1"/>
  <c r="L494" i="1"/>
  <c r="AF485" i="1"/>
  <c r="AF486" i="1"/>
  <c r="L488" i="1"/>
  <c r="L486" i="1" l="1"/>
  <c r="L485" i="1"/>
  <c r="AA484" i="1"/>
  <c r="X484" i="1"/>
  <c r="U484" i="1"/>
  <c r="R484" i="1"/>
  <c r="U587" i="1"/>
  <c r="X587" i="1"/>
  <c r="AA587" i="1"/>
  <c r="AA481" i="1"/>
  <c r="AA482" i="1"/>
  <c r="AA483" i="1"/>
  <c r="X481" i="1"/>
  <c r="X482" i="1"/>
  <c r="X483" i="1"/>
  <c r="U481" i="1"/>
  <c r="U482" i="1"/>
  <c r="U483" i="1"/>
  <c r="R481" i="1"/>
  <c r="R482" i="1"/>
  <c r="R483" i="1"/>
  <c r="AF587" i="1" l="1"/>
  <c r="AF484" i="1"/>
  <c r="AF481" i="1"/>
  <c r="L590" i="1"/>
  <c r="AF590" i="1"/>
  <c r="AF588" i="1"/>
  <c r="L588" i="1"/>
  <c r="AF589" i="1"/>
  <c r="L589" i="1"/>
  <c r="AF483" i="1"/>
  <c r="AF482" i="1"/>
  <c r="AJ309" i="1"/>
  <c r="AI309" i="1"/>
  <c r="AI885" i="1"/>
  <c r="AI862" i="1"/>
  <c r="AI861" i="1"/>
  <c r="AJ18" i="1"/>
  <c r="AI18" i="1"/>
  <c r="AJ341" i="1"/>
  <c r="AI341" i="1"/>
  <c r="AJ353" i="1"/>
  <c r="AI353" i="1"/>
  <c r="AJ157" i="1"/>
  <c r="AI157" i="1"/>
  <c r="AJ41" i="1"/>
  <c r="AI41" i="1"/>
  <c r="AJ336" i="1"/>
  <c r="AI336" i="1"/>
  <c r="AJ324" i="1"/>
  <c r="AI324" i="1"/>
  <c r="AJ245" i="1"/>
  <c r="AJ340" i="1"/>
  <c r="AI340" i="1"/>
  <c r="AJ291" i="1"/>
  <c r="AI291" i="1"/>
  <c r="AJ155" i="1"/>
  <c r="AI155" i="1"/>
  <c r="AJ16" i="1"/>
  <c r="AI16" i="1"/>
  <c r="AI856" i="1"/>
  <c r="AI864" i="1"/>
  <c r="AJ849" i="1"/>
  <c r="AI849" i="1"/>
  <c r="AJ844" i="1"/>
  <c r="AI844" i="1"/>
  <c r="AI832" i="1"/>
  <c r="AJ836" i="1"/>
  <c r="AI836" i="1"/>
  <c r="AI820" i="1"/>
  <c r="AI837" i="1"/>
  <c r="AJ367" i="1"/>
  <c r="AI367" i="1"/>
  <c r="AJ182" i="1"/>
  <c r="AI182" i="1"/>
  <c r="AJ100" i="1"/>
  <c r="AI100" i="1"/>
  <c r="AJ789" i="1"/>
  <c r="AI811" i="1"/>
  <c r="AI845" i="1"/>
  <c r="AI815" i="1"/>
  <c r="AI783" i="1"/>
  <c r="AJ36" i="1"/>
  <c r="AI36" i="1"/>
  <c r="AJ82" i="1"/>
  <c r="AI82" i="1"/>
  <c r="AJ281" i="1"/>
  <c r="AI281" i="1"/>
  <c r="AJ194" i="1"/>
  <c r="AJ196" i="1"/>
  <c r="AI196" i="1"/>
  <c r="AI764" i="1"/>
  <c r="AI681" i="1"/>
  <c r="AI605" i="1"/>
  <c r="U586" i="1"/>
  <c r="X586" i="1"/>
  <c r="AA586" i="1"/>
  <c r="R480" i="1"/>
  <c r="U480" i="1"/>
  <c r="X480" i="1"/>
  <c r="AA480" i="1"/>
  <c r="L587" i="1" l="1"/>
  <c r="L484" i="1"/>
  <c r="L481" i="1"/>
  <c r="L483" i="1"/>
  <c r="L482" i="1"/>
  <c r="AF480" i="1"/>
  <c r="AF586" i="1"/>
  <c r="L480" i="1" l="1"/>
  <c r="L586" i="1"/>
  <c r="AA476" i="1"/>
  <c r="AA477" i="1"/>
  <c r="AA478" i="1"/>
  <c r="AA479" i="1"/>
  <c r="X476" i="1"/>
  <c r="X477" i="1"/>
  <c r="X478" i="1"/>
  <c r="X479" i="1"/>
  <c r="U476" i="1"/>
  <c r="U477" i="1"/>
  <c r="U478" i="1"/>
  <c r="U479" i="1"/>
  <c r="R476" i="1"/>
  <c r="R477" i="1"/>
  <c r="R478" i="1"/>
  <c r="R479" i="1"/>
  <c r="R472" i="1"/>
  <c r="R473" i="1"/>
  <c r="R474" i="1"/>
  <c r="R475" i="1"/>
  <c r="U472" i="1"/>
  <c r="U473" i="1"/>
  <c r="U474" i="1"/>
  <c r="U475" i="1"/>
  <c r="X472" i="1"/>
  <c r="X473" i="1"/>
  <c r="X474" i="1"/>
  <c r="X475" i="1"/>
  <c r="AA472" i="1"/>
  <c r="AA473" i="1"/>
  <c r="AA474" i="1"/>
  <c r="AA475" i="1"/>
  <c r="AA470" i="1"/>
  <c r="AA471" i="1"/>
  <c r="X470" i="1"/>
  <c r="U470" i="1"/>
  <c r="U471" i="1"/>
  <c r="R470" i="1"/>
  <c r="R471" i="1"/>
  <c r="AA585" i="1"/>
  <c r="X585" i="1"/>
  <c r="U585" i="1"/>
  <c r="R466" i="1"/>
  <c r="R467" i="1"/>
  <c r="R468" i="1"/>
  <c r="R469" i="1"/>
  <c r="U466" i="1"/>
  <c r="U467" i="1"/>
  <c r="U468" i="1"/>
  <c r="U469" i="1"/>
  <c r="X469" i="1"/>
  <c r="X468" i="1"/>
  <c r="X467" i="1"/>
  <c r="X466" i="1"/>
  <c r="AA466" i="1"/>
  <c r="AA467" i="1"/>
  <c r="AA468" i="1"/>
  <c r="AA469" i="1"/>
  <c r="R465" i="1"/>
  <c r="AA465" i="1"/>
  <c r="U465" i="1"/>
  <c r="X465" i="1"/>
  <c r="R61" i="1"/>
  <c r="U61" i="1"/>
  <c r="X61" i="1"/>
  <c r="AA459" i="1"/>
  <c r="AA460" i="1"/>
  <c r="AA461" i="1"/>
  <c r="AA462" i="1"/>
  <c r="AA463" i="1"/>
  <c r="AA464" i="1"/>
  <c r="AA458" i="1"/>
  <c r="X459" i="1"/>
  <c r="X460" i="1"/>
  <c r="X461" i="1"/>
  <c r="X462" i="1"/>
  <c r="X463" i="1"/>
  <c r="X464" i="1"/>
  <c r="X458" i="1"/>
  <c r="U459" i="1"/>
  <c r="U460" i="1"/>
  <c r="U461" i="1"/>
  <c r="U462" i="1"/>
  <c r="U463" i="1"/>
  <c r="U464" i="1"/>
  <c r="U458" i="1"/>
  <c r="R459" i="1"/>
  <c r="R460" i="1"/>
  <c r="R461" i="1"/>
  <c r="R462" i="1"/>
  <c r="R463" i="1"/>
  <c r="R464" i="1"/>
  <c r="R458" i="1"/>
  <c r="AF475" i="1" l="1"/>
  <c r="L476" i="1"/>
  <c r="AF472" i="1"/>
  <c r="AF478" i="1"/>
  <c r="AF477" i="1"/>
  <c r="AF474" i="1"/>
  <c r="AF470" i="1"/>
  <c r="AF469" i="1"/>
  <c r="AF468" i="1"/>
  <c r="AF466" i="1"/>
  <c r="AF465" i="1"/>
  <c r="AF463" i="1"/>
  <c r="AF460" i="1"/>
  <c r="AF462" i="1"/>
  <c r="R893" i="1"/>
  <c r="U893" i="1"/>
  <c r="X893" i="1"/>
  <c r="AA893" i="1"/>
  <c r="U279" i="1"/>
  <c r="R279" i="1"/>
  <c r="X279" i="1"/>
  <c r="AA279" i="1"/>
  <c r="AA91" i="1"/>
  <c r="X91" i="1"/>
  <c r="U91" i="1"/>
  <c r="R91" i="1"/>
  <c r="R438" i="1"/>
  <c r="U438" i="1"/>
  <c r="X438" i="1"/>
  <c r="AA438" i="1"/>
  <c r="R233" i="1"/>
  <c r="U233" i="1"/>
  <c r="X233" i="1"/>
  <c r="AA233" i="1"/>
  <c r="R113" i="1"/>
  <c r="U113" i="1"/>
  <c r="X113" i="1"/>
  <c r="AA113" i="1"/>
  <c r="AF459" i="1" l="1"/>
  <c r="AF458" i="1"/>
  <c r="L474" i="1"/>
  <c r="L475" i="1"/>
  <c r="AF476" i="1"/>
  <c r="L458" i="1"/>
  <c r="L472" i="1"/>
  <c r="L470" i="1"/>
  <c r="AF479" i="1"/>
  <c r="L479" i="1"/>
  <c r="L478" i="1"/>
  <c r="L477" i="1"/>
  <c r="AF473" i="1"/>
  <c r="L473" i="1"/>
  <c r="L585" i="1"/>
  <c r="AF585" i="1"/>
  <c r="AF467" i="1"/>
  <c r="L467" i="1"/>
  <c r="L466" i="1"/>
  <c r="L468" i="1"/>
  <c r="L469" i="1"/>
  <c r="L465" i="1"/>
  <c r="AF61" i="1"/>
  <c r="L61" i="1"/>
  <c r="AF464" i="1"/>
  <c r="L464" i="1"/>
  <c r="L463" i="1"/>
  <c r="L462" i="1"/>
  <c r="AF461" i="1"/>
  <c r="L461" i="1"/>
  <c r="L460" i="1"/>
  <c r="L459" i="1"/>
  <c r="L893" i="1"/>
  <c r="AF279" i="1"/>
  <c r="AF113" i="1"/>
  <c r="AF233" i="1"/>
  <c r="R363" i="1"/>
  <c r="U363" i="1"/>
  <c r="X363" i="1"/>
  <c r="AA363" i="1"/>
  <c r="R256" i="1"/>
  <c r="U256" i="1"/>
  <c r="X256" i="1"/>
  <c r="AA256" i="1"/>
  <c r="R328" i="1"/>
  <c r="U328" i="1"/>
  <c r="X328" i="1"/>
  <c r="AA328" i="1"/>
  <c r="U415" i="1"/>
  <c r="X415" i="1"/>
  <c r="AA415" i="1"/>
  <c r="R416" i="1"/>
  <c r="R417" i="1"/>
  <c r="R418" i="1"/>
  <c r="R419" i="1"/>
  <c r="R420" i="1"/>
  <c r="R421" i="1"/>
  <c r="R422" i="1"/>
  <c r="R423" i="1"/>
  <c r="R424" i="1"/>
  <c r="R425" i="1"/>
  <c r="R415" i="1"/>
  <c r="AF893" i="1" l="1"/>
  <c r="L113" i="1"/>
  <c r="L279" i="1"/>
  <c r="L91" i="1"/>
  <c r="AF91" i="1"/>
  <c r="L438" i="1"/>
  <c r="AF438" i="1"/>
  <c r="L233" i="1"/>
  <c r="AF328" i="1"/>
  <c r="AF363" i="1"/>
  <c r="AF256" i="1"/>
  <c r="L415" i="1"/>
  <c r="L256" i="1" l="1"/>
  <c r="L328" i="1"/>
  <c r="AF415" i="1"/>
  <c r="L363" i="1"/>
  <c r="AJ51" i="1"/>
  <c r="AI51" i="1"/>
  <c r="AJ335" i="1"/>
  <c r="AI335" i="1"/>
  <c r="AJ308" i="1"/>
  <c r="AI308" i="1"/>
  <c r="AJ50" i="1"/>
  <c r="AI50" i="1"/>
  <c r="AJ129" i="1"/>
  <c r="AI129" i="1"/>
  <c r="AJ833" i="1"/>
  <c r="AI833" i="1"/>
  <c r="AI817" i="1"/>
  <c r="AJ850" i="1" l="1"/>
  <c r="AI850" i="1"/>
  <c r="AI838" i="1"/>
  <c r="AJ14" i="1"/>
  <c r="AI14" i="1"/>
  <c r="AJ787" i="1"/>
  <c r="AJ790" i="1"/>
  <c r="AI790" i="1"/>
  <c r="AI814" i="1"/>
  <c r="AJ377" i="1"/>
  <c r="AI377" i="1"/>
  <c r="AI707" i="1"/>
  <c r="AJ675" i="1"/>
  <c r="AI675" i="1"/>
  <c r="AI663" i="1"/>
  <c r="AI29" i="1"/>
  <c r="AI624" i="1"/>
  <c r="U414" i="1"/>
  <c r="X414" i="1"/>
  <c r="AA414" i="1"/>
  <c r="R414" i="1"/>
  <c r="U274" i="1"/>
  <c r="X274" i="1"/>
  <c r="AA274" i="1"/>
  <c r="R274" i="1"/>
  <c r="AA138" i="1"/>
  <c r="X138" i="1"/>
  <c r="U138" i="1"/>
  <c r="R138" i="1"/>
  <c r="R45" i="1"/>
  <c r="U45" i="1"/>
  <c r="X45" i="1"/>
  <c r="R345" i="1"/>
  <c r="U345" i="1"/>
  <c r="X345" i="1"/>
  <c r="AA345" i="1"/>
  <c r="AF414" i="1" l="1"/>
  <c r="AF345" i="1"/>
  <c r="AF274" i="1"/>
  <c r="AF45" i="1"/>
  <c r="R145" i="1"/>
  <c r="U145" i="1"/>
  <c r="X145" i="1"/>
  <c r="AA145" i="1"/>
  <c r="R255" i="1"/>
  <c r="U255" i="1"/>
  <c r="X255" i="1"/>
  <c r="AA255" i="1"/>
  <c r="R413" i="1"/>
  <c r="U413" i="1"/>
  <c r="X413" i="1"/>
  <c r="AA413" i="1"/>
  <c r="U286" i="1"/>
  <c r="X286" i="1"/>
  <c r="AA286" i="1"/>
  <c r="R286" i="1"/>
  <c r="R412" i="1"/>
  <c r="U412" i="1"/>
  <c r="X412" i="1"/>
  <c r="AA412" i="1"/>
  <c r="R44" i="1"/>
  <c r="U44" i="1"/>
  <c r="X44" i="1"/>
  <c r="R382" i="1"/>
  <c r="U382" i="1"/>
  <c r="X382" i="1"/>
  <c r="R344" i="1"/>
  <c r="U344" i="1"/>
  <c r="X344" i="1"/>
  <c r="AA344" i="1"/>
  <c r="R177" i="1"/>
  <c r="U177" i="1"/>
  <c r="X177" i="1"/>
  <c r="AA177" i="1"/>
  <c r="L414" i="1" l="1"/>
  <c r="L345" i="1"/>
  <c r="L274" i="1"/>
  <c r="L138" i="1"/>
  <c r="AF138" i="1"/>
  <c r="L45" i="1"/>
  <c r="AF145" i="1"/>
  <c r="AF413" i="1"/>
  <c r="AF412" i="1"/>
  <c r="AF382" i="1"/>
  <c r="AF286" i="1"/>
  <c r="L44" i="1"/>
  <c r="AF177" i="1"/>
  <c r="AF344" i="1"/>
  <c r="U425" i="1"/>
  <c r="X425" i="1"/>
  <c r="AA425" i="1"/>
  <c r="U33" i="1"/>
  <c r="X33" i="1"/>
  <c r="AA33" i="1"/>
  <c r="R33" i="1"/>
  <c r="R90" i="1"/>
  <c r="U90" i="1"/>
  <c r="X90" i="1"/>
  <c r="AA90" i="1"/>
  <c r="L382" i="1" l="1"/>
  <c r="L412" i="1"/>
  <c r="L145" i="1"/>
  <c r="L413" i="1"/>
  <c r="AF255" i="1"/>
  <c r="L255" i="1"/>
  <c r="L286" i="1"/>
  <c r="AF44" i="1"/>
  <c r="AF90" i="1"/>
  <c r="L177" i="1"/>
  <c r="L344" i="1"/>
  <c r="AF425" i="1"/>
  <c r="AF33" i="1"/>
  <c r="U254" i="1"/>
  <c r="R254" i="1"/>
  <c r="X254" i="1"/>
  <c r="AA254" i="1"/>
  <c r="L33" i="1" l="1"/>
  <c r="L90" i="1"/>
  <c r="L425" i="1"/>
  <c r="AF254" i="1"/>
  <c r="AA273" i="1"/>
  <c r="R273" i="1"/>
  <c r="U273" i="1"/>
  <c r="X273" i="1"/>
  <c r="R311" i="1"/>
  <c r="U311" i="1"/>
  <c r="X311" i="1"/>
  <c r="AA311" i="1"/>
  <c r="R232" i="1"/>
  <c r="U232" i="1"/>
  <c r="X232" i="1"/>
  <c r="AA232" i="1"/>
  <c r="R411" i="1"/>
  <c r="U411" i="1"/>
  <c r="X411" i="1"/>
  <c r="AA411" i="1"/>
  <c r="U381" i="1"/>
  <c r="X381" i="1"/>
  <c r="R381" i="1"/>
  <c r="L254" i="1" l="1"/>
  <c r="AF311" i="1"/>
  <c r="AF232" i="1"/>
  <c r="AF381" i="1" l="1"/>
  <c r="AF273" i="1"/>
  <c r="L232" i="1"/>
  <c r="L273" i="1"/>
  <c r="L311" i="1"/>
  <c r="L381" i="1"/>
  <c r="L411" i="1"/>
  <c r="AF411" i="1"/>
  <c r="AJ103" i="1" l="1"/>
  <c r="AI103" i="1"/>
  <c r="AJ17" i="1"/>
  <c r="AI17" i="1"/>
  <c r="AJ83" i="1" l="1"/>
  <c r="AI83" i="1"/>
  <c r="AJ98" i="1"/>
  <c r="AI98" i="1"/>
  <c r="AJ799" i="1"/>
  <c r="AI799" i="1"/>
  <c r="AJ123" i="1"/>
  <c r="AI123" i="1"/>
  <c r="AJ238" i="1"/>
  <c r="AJ365" i="1"/>
  <c r="AI365" i="1"/>
  <c r="AI635" i="1"/>
  <c r="AI606" i="1"/>
  <c r="R437" i="1"/>
  <c r="U437" i="1"/>
  <c r="AA437" i="1"/>
  <c r="X437" i="1"/>
  <c r="R410" i="1"/>
  <c r="U410" i="1"/>
  <c r="X409" i="1"/>
  <c r="X410" i="1"/>
  <c r="AA410" i="1"/>
  <c r="R447" i="1"/>
  <c r="U447" i="1"/>
  <c r="X447" i="1"/>
  <c r="AA447" i="1"/>
  <c r="U373" i="1"/>
  <c r="X373" i="1"/>
  <c r="AA373" i="1"/>
  <c r="R373" i="1"/>
  <c r="R162" i="1"/>
  <c r="U162" i="1"/>
  <c r="X162" i="1"/>
  <c r="AA162" i="1"/>
  <c r="R446" i="1"/>
  <c r="U446" i="1"/>
  <c r="X446" i="1"/>
  <c r="AA446" i="1"/>
  <c r="R310" i="1"/>
  <c r="U310" i="1"/>
  <c r="X310" i="1"/>
  <c r="AA310" i="1"/>
  <c r="R161" i="1"/>
  <c r="R112" i="1"/>
  <c r="U112" i="1"/>
  <c r="X112" i="1"/>
  <c r="AA112" i="1"/>
  <c r="U161" i="1"/>
  <c r="X161" i="1"/>
  <c r="AA161" i="1"/>
  <c r="R187" i="1"/>
  <c r="U187" i="1"/>
  <c r="X187" i="1"/>
  <c r="AA187" i="1"/>
  <c r="U214" i="1"/>
  <c r="R214" i="1"/>
  <c r="X214" i="1"/>
  <c r="AA214" i="1"/>
  <c r="R111" i="1"/>
  <c r="U111" i="1"/>
  <c r="X111" i="1"/>
  <c r="AA111" i="1"/>
  <c r="R110" i="1"/>
  <c r="U110" i="1"/>
  <c r="X110" i="1"/>
  <c r="AA110" i="1"/>
  <c r="R327" i="1"/>
  <c r="U327" i="1"/>
  <c r="X327" i="1"/>
  <c r="AA327" i="1"/>
  <c r="AA198" i="1"/>
  <c r="R198" i="1"/>
  <c r="U198" i="1"/>
  <c r="X198" i="1"/>
  <c r="R186" i="1"/>
  <c r="U186" i="1"/>
  <c r="X186" i="1"/>
  <c r="AA186" i="1"/>
  <c r="R445" i="1"/>
  <c r="U445" i="1"/>
  <c r="X445" i="1"/>
  <c r="AA445" i="1"/>
  <c r="AA869" i="1"/>
  <c r="R409" i="1"/>
  <c r="U409" i="1"/>
  <c r="AA409" i="1"/>
  <c r="R53" i="1"/>
  <c r="U53" i="1"/>
  <c r="X53" i="1"/>
  <c r="R206" i="1"/>
  <c r="U206" i="1"/>
  <c r="X206" i="1"/>
  <c r="AA206" i="1"/>
  <c r="U408" i="1"/>
  <c r="X408" i="1"/>
  <c r="AA408" i="1"/>
  <c r="R407" i="1"/>
  <c r="U407" i="1"/>
  <c r="X407" i="1"/>
  <c r="AA407" i="1"/>
  <c r="R26" i="1"/>
  <c r="U26" i="1"/>
  <c r="X26" i="1"/>
  <c r="AA26" i="1"/>
  <c r="R160" i="1"/>
  <c r="U160" i="1"/>
  <c r="X160" i="1"/>
  <c r="AA160" i="1"/>
  <c r="R406" i="1"/>
  <c r="U406" i="1"/>
  <c r="X406" i="1"/>
  <c r="AA406" i="1"/>
  <c r="AA362" i="1"/>
  <c r="X362" i="1"/>
  <c r="U362" i="1"/>
  <c r="R362" i="1"/>
  <c r="R405" i="1"/>
  <c r="U405" i="1"/>
  <c r="X405" i="1"/>
  <c r="AA405" i="1"/>
  <c r="AF327" i="1" l="1"/>
  <c r="AF409" i="1"/>
  <c r="AF310" i="1"/>
  <c r="AF447" i="1"/>
  <c r="AF410" i="1"/>
  <c r="AF162" i="1"/>
  <c r="AF407" i="1"/>
  <c r="AF111" i="1"/>
  <c r="AF187" i="1"/>
  <c r="AF112" i="1"/>
  <c r="AF110" i="1"/>
  <c r="AF161" i="1"/>
  <c r="AF446" i="1"/>
  <c r="AF214" i="1"/>
  <c r="AF405" i="1"/>
  <c r="AF26" i="1"/>
  <c r="L198" i="1"/>
  <c r="AF445" i="1"/>
  <c r="AF53" i="1"/>
  <c r="AF160" i="1"/>
  <c r="AF406" i="1"/>
  <c r="R60" i="1"/>
  <c r="U60" i="1"/>
  <c r="X60" i="1"/>
  <c r="R179" i="1"/>
  <c r="U179" i="1"/>
  <c r="X179" i="1"/>
  <c r="AA179" i="1"/>
  <c r="R372" i="1"/>
  <c r="U372" i="1"/>
  <c r="X372" i="1"/>
  <c r="AA372" i="1"/>
  <c r="R361" i="1"/>
  <c r="U361" i="1"/>
  <c r="X361" i="1"/>
  <c r="AA361" i="1"/>
  <c r="R404" i="1"/>
  <c r="U404" i="1"/>
  <c r="X404" i="1"/>
  <c r="AA404" i="1"/>
  <c r="R109" i="1"/>
  <c r="U109" i="1"/>
  <c r="X109" i="1"/>
  <c r="AA109" i="1"/>
  <c r="R360" i="1"/>
  <c r="U360" i="1"/>
  <c r="X360" i="1"/>
  <c r="AA360" i="1"/>
  <c r="R371" i="1"/>
  <c r="U371" i="1"/>
  <c r="X371" i="1"/>
  <c r="AA371" i="1"/>
  <c r="R285" i="1"/>
  <c r="U285" i="1"/>
  <c r="X285" i="1"/>
  <c r="AA285" i="1"/>
  <c r="R253" i="1"/>
  <c r="U253" i="1"/>
  <c r="X253" i="1"/>
  <c r="AA253" i="1"/>
  <c r="U403" i="1"/>
  <c r="X403" i="1"/>
  <c r="AA403" i="1"/>
  <c r="R403" i="1"/>
  <c r="U402" i="1"/>
  <c r="R402" i="1"/>
  <c r="X402" i="1"/>
  <c r="AA402" i="1"/>
  <c r="R401" i="1"/>
  <c r="U401" i="1"/>
  <c r="X401" i="1"/>
  <c r="AA401" i="1"/>
  <c r="R176" i="1"/>
  <c r="U176" i="1"/>
  <c r="X176" i="1"/>
  <c r="AA176" i="1"/>
  <c r="R159" i="1"/>
  <c r="U159" i="1"/>
  <c r="X159" i="1"/>
  <c r="AA159" i="1"/>
  <c r="Q159" i="1"/>
  <c r="P159" i="1"/>
  <c r="R89" i="1"/>
  <c r="U89" i="1"/>
  <c r="X89" i="1"/>
  <c r="AA89" i="1"/>
  <c r="R231" i="1"/>
  <c r="U231" i="1"/>
  <c r="X231" i="1"/>
  <c r="AA231" i="1"/>
  <c r="R252" i="1"/>
  <c r="U252" i="1"/>
  <c r="X252" i="1"/>
  <c r="AA252" i="1"/>
  <c r="R400" i="1"/>
  <c r="U400" i="1"/>
  <c r="X400" i="1"/>
  <c r="AA400" i="1"/>
  <c r="R185" i="1"/>
  <c r="U185" i="1"/>
  <c r="X185" i="1"/>
  <c r="AA185" i="1"/>
  <c r="R399" i="1"/>
  <c r="U399" i="1"/>
  <c r="X399" i="1"/>
  <c r="AA399" i="1"/>
  <c r="R108" i="1"/>
  <c r="U108" i="1"/>
  <c r="X108" i="1"/>
  <c r="AA108" i="1"/>
  <c r="AJ197" i="1"/>
  <c r="AI197" i="1"/>
  <c r="AJ136" i="1"/>
  <c r="AI136" i="1"/>
  <c r="AJ378" i="1"/>
  <c r="AI378" i="1"/>
  <c r="AJ127" i="1"/>
  <c r="AI127" i="1"/>
  <c r="AJ441" i="1"/>
  <c r="AI441" i="1"/>
  <c r="AI858" i="1"/>
  <c r="AJ322" i="1"/>
  <c r="AI322" i="1"/>
  <c r="AJ56" i="1"/>
  <c r="AI56" i="1"/>
  <c r="AJ298" i="1"/>
  <c r="AI298" i="1"/>
  <c r="AJ350" i="1"/>
  <c r="AI350" i="1"/>
  <c r="AJ37" i="1"/>
  <c r="AI37" i="1"/>
  <c r="AJ240" i="1"/>
  <c r="AI240" i="1"/>
  <c r="AJ195" i="1"/>
  <c r="AI195" i="1"/>
  <c r="AJ261" i="1"/>
  <c r="AI261" i="1"/>
  <c r="AJ243" i="1"/>
  <c r="AI243" i="1"/>
  <c r="AJ432" i="1"/>
  <c r="AI432" i="1"/>
  <c r="AJ133" i="1"/>
  <c r="AI133" i="1"/>
  <c r="AJ349" i="1"/>
  <c r="AI349" i="1"/>
  <c r="AJ23" i="1"/>
  <c r="AI23" i="1"/>
  <c r="AJ221" i="1"/>
  <c r="AI221" i="1"/>
  <c r="AJ72" i="1"/>
  <c r="AI72" i="1"/>
  <c r="AJ193" i="1"/>
  <c r="AI193" i="1"/>
  <c r="AJ97" i="1"/>
  <c r="AI97" i="1"/>
  <c r="AI688" i="1"/>
  <c r="R175" i="1"/>
  <c r="U175" i="1"/>
  <c r="X175" i="1"/>
  <c r="AA175" i="1"/>
  <c r="R398" i="1"/>
  <c r="U398" i="1"/>
  <c r="X398" i="1"/>
  <c r="AA398" i="1"/>
  <c r="U397" i="1"/>
  <c r="X397" i="1"/>
  <c r="AA397" i="1"/>
  <c r="R397" i="1"/>
  <c r="L447" i="1" l="1"/>
  <c r="L111" i="1"/>
  <c r="L310" i="1"/>
  <c r="L327" i="1"/>
  <c r="L409" i="1"/>
  <c r="L112" i="1"/>
  <c r="AF402" i="1"/>
  <c r="L187" i="1"/>
  <c r="AF373" i="1"/>
  <c r="L373" i="1"/>
  <c r="L437" i="1"/>
  <c r="AF437" i="1"/>
  <c r="L407" i="1"/>
  <c r="L410" i="1"/>
  <c r="L162" i="1"/>
  <c r="L110" i="1"/>
  <c r="L161" i="1"/>
  <c r="L214" i="1"/>
  <c r="L446" i="1"/>
  <c r="AF400" i="1"/>
  <c r="L405" i="1"/>
  <c r="L26" i="1"/>
  <c r="AF404" i="1"/>
  <c r="AF198" i="1"/>
  <c r="AF186" i="1"/>
  <c r="L186" i="1"/>
  <c r="L445" i="1"/>
  <c r="L53" i="1"/>
  <c r="AF206" i="1"/>
  <c r="L206" i="1"/>
  <c r="L160" i="1"/>
  <c r="L406" i="1"/>
  <c r="L362" i="1"/>
  <c r="AF362" i="1"/>
  <c r="AF403" i="1"/>
  <c r="AF60" i="1"/>
  <c r="L179" i="1"/>
  <c r="L361" i="1"/>
  <c r="L399" i="1"/>
  <c r="AF185" i="1"/>
  <c r="AF109" i="1"/>
  <c r="AF360" i="1"/>
  <c r="AF285" i="1"/>
  <c r="AF401" i="1"/>
  <c r="AF176" i="1"/>
  <c r="L159" i="1"/>
  <c r="AF231" i="1"/>
  <c r="L252" i="1"/>
  <c r="AF108" i="1"/>
  <c r="AF397" i="1"/>
  <c r="AF398" i="1"/>
  <c r="AF175" i="1"/>
  <c r="U396" i="1"/>
  <c r="X396" i="1"/>
  <c r="AA396" i="1"/>
  <c r="R396" i="1"/>
  <c r="U395" i="1"/>
  <c r="X395" i="1"/>
  <c r="AA395" i="1"/>
  <c r="R395" i="1"/>
  <c r="AA394" i="1"/>
  <c r="X394" i="1"/>
  <c r="U394" i="1"/>
  <c r="R394" i="1"/>
  <c r="AA393" i="1"/>
  <c r="X393" i="1"/>
  <c r="U393" i="1"/>
  <c r="R393" i="1"/>
  <c r="AA392" i="1"/>
  <c r="X392" i="1"/>
  <c r="U392" i="1"/>
  <c r="R392" i="1"/>
  <c r="U269" i="1"/>
  <c r="X269" i="1"/>
  <c r="R269" i="1"/>
  <c r="U391" i="1"/>
  <c r="X391" i="1"/>
  <c r="AA391" i="1"/>
  <c r="R391" i="1"/>
  <c r="L185" i="1" l="1"/>
  <c r="L402" i="1"/>
  <c r="L400" i="1"/>
  <c r="L404" i="1"/>
  <c r="L403" i="1"/>
  <c r="L401" i="1"/>
  <c r="AF399" i="1"/>
  <c r="L60" i="1"/>
  <c r="AF179" i="1"/>
  <c r="AF372" i="1"/>
  <c r="L372" i="1"/>
  <c r="AF361" i="1"/>
  <c r="L231" i="1"/>
  <c r="L89" i="1"/>
  <c r="L176" i="1"/>
  <c r="L253" i="1"/>
  <c r="AF89" i="1"/>
  <c r="L109" i="1"/>
  <c r="L360" i="1"/>
  <c r="L371" i="1"/>
  <c r="AF371" i="1"/>
  <c r="L285" i="1"/>
  <c r="AF253" i="1"/>
  <c r="AF159" i="1"/>
  <c r="AF252" i="1"/>
  <c r="L108" i="1"/>
  <c r="AF269" i="1"/>
  <c r="L397" i="1"/>
  <c r="L175" i="1"/>
  <c r="L398" i="1"/>
  <c r="AF394" i="1"/>
  <c r="AF393" i="1"/>
  <c r="AF392" i="1"/>
  <c r="AF395" i="1"/>
  <c r="AF396" i="1"/>
  <c r="AF391" i="1"/>
  <c r="AA390" i="1"/>
  <c r="X390" i="1"/>
  <c r="U390" i="1"/>
  <c r="R390" i="1"/>
  <c r="L269" i="1" l="1"/>
  <c r="L392" i="1"/>
  <c r="L394" i="1"/>
  <c r="L391" i="1"/>
  <c r="L393" i="1"/>
  <c r="L395" i="1"/>
  <c r="AF390" i="1"/>
  <c r="L396" i="1"/>
  <c r="U389" i="1"/>
  <c r="X389" i="1"/>
  <c r="AA389" i="1"/>
  <c r="R389" i="1"/>
  <c r="R174" i="1"/>
  <c r="U174" i="1"/>
  <c r="X174" i="1"/>
  <c r="AA174" i="1"/>
  <c r="AA388" i="1"/>
  <c r="X388" i="1"/>
  <c r="U388" i="1"/>
  <c r="R388" i="1"/>
  <c r="AF174" i="1" l="1"/>
  <c r="L390" i="1"/>
  <c r="AF388" i="1"/>
  <c r="AF389" i="1"/>
  <c r="R387" i="1"/>
  <c r="U387" i="1"/>
  <c r="X387" i="1"/>
  <c r="AA387" i="1"/>
  <c r="L174" i="1" l="1"/>
  <c r="L389" i="1"/>
  <c r="L388" i="1"/>
  <c r="AF387" i="1"/>
  <c r="R107" i="1"/>
  <c r="U107" i="1"/>
  <c r="X107" i="1"/>
  <c r="AA107" i="1"/>
  <c r="L387" i="1" l="1"/>
  <c r="AF107" i="1"/>
  <c r="R106" i="1"/>
  <c r="U106" i="1"/>
  <c r="X106" i="1"/>
  <c r="AA106" i="1"/>
  <c r="L107" i="1" l="1"/>
  <c r="R892" i="1"/>
  <c r="U892" i="1"/>
  <c r="X892" i="1"/>
  <c r="AA892" i="1"/>
  <c r="L106" i="1" l="1"/>
  <c r="AF106" i="1"/>
  <c r="AF892" i="1"/>
  <c r="L892" i="1" l="1"/>
  <c r="X278" i="1" l="1"/>
  <c r="U278" i="1"/>
  <c r="R278" i="1"/>
  <c r="AA278" i="1"/>
  <c r="AJ67" i="1"/>
  <c r="AJ143" i="1"/>
  <c r="AI143" i="1"/>
  <c r="AI67" i="1"/>
  <c r="AI852" i="1"/>
  <c r="AI792" i="1"/>
  <c r="AI876" i="1"/>
  <c r="AJ323" i="1"/>
  <c r="AI323" i="1"/>
  <c r="AJ48" i="1"/>
  <c r="AI48" i="1"/>
  <c r="AJ65" i="1"/>
  <c r="AI65" i="1"/>
  <c r="AJ848" i="1"/>
  <c r="AI848" i="1"/>
  <c r="AI834" i="1"/>
  <c r="AJ30" i="1"/>
  <c r="AI30" i="1"/>
  <c r="AJ165" i="1"/>
  <c r="AI165" i="1"/>
  <c r="AJ314" i="1"/>
  <c r="AI314" i="1"/>
  <c r="AI642" i="1"/>
  <c r="AI651" i="1"/>
  <c r="R891" i="1"/>
  <c r="U891" i="1"/>
  <c r="X891" i="1"/>
  <c r="AA891" i="1"/>
  <c r="AF278" i="1" l="1"/>
  <c r="L891" i="1"/>
  <c r="R105" i="1"/>
  <c r="U105" i="1"/>
  <c r="X105" i="1"/>
  <c r="AA105" i="1"/>
  <c r="AA69" i="1"/>
  <c r="R69" i="1"/>
  <c r="U69" i="1"/>
  <c r="X69" i="1"/>
  <c r="R268" i="1"/>
  <c r="U268" i="1"/>
  <c r="X268" i="1"/>
  <c r="AA268" i="1"/>
  <c r="AI650" i="1"/>
  <c r="AJ272" i="1"/>
  <c r="AI272" i="1"/>
  <c r="AJ74" i="1"/>
  <c r="AI74" i="1"/>
  <c r="AJ301" i="1"/>
  <c r="AI301" i="1"/>
  <c r="AI235" i="1"/>
  <c r="AI780" i="1"/>
  <c r="AI776" i="1"/>
  <c r="AJ430" i="1"/>
  <c r="AI430" i="1"/>
  <c r="AI679" i="1"/>
  <c r="AJ676" i="1"/>
  <c r="AJ650" i="1"/>
  <c r="AI637" i="1"/>
  <c r="AI632" i="1"/>
  <c r="U88" i="1"/>
  <c r="R88" i="1"/>
  <c r="X88" i="1"/>
  <c r="AA88" i="1"/>
  <c r="R251" i="1"/>
  <c r="U251" i="1"/>
  <c r="X251" i="1"/>
  <c r="AA251" i="1"/>
  <c r="AI241" i="1"/>
  <c r="AI617" i="1"/>
  <c r="AJ142" i="1"/>
  <c r="AJ368" i="1"/>
  <c r="AI368" i="1"/>
  <c r="AJ434" i="1"/>
  <c r="AI434" i="1"/>
  <c r="AJ226" i="1"/>
  <c r="AI226" i="1"/>
  <c r="AJ80" i="1"/>
  <c r="AI80" i="1"/>
  <c r="AJ338" i="1"/>
  <c r="AI338" i="1"/>
  <c r="AJ219" i="1"/>
  <c r="AI219" i="1"/>
  <c r="U370" i="1"/>
  <c r="X370" i="1"/>
  <c r="AA370" i="1"/>
  <c r="R370" i="1"/>
  <c r="X800" i="1"/>
  <c r="R800" i="1"/>
  <c r="L278" i="1" l="1"/>
  <c r="AF891" i="1"/>
  <c r="L69" i="1"/>
  <c r="AF268" i="1"/>
  <c r="AF251" i="1"/>
  <c r="AF370" i="1"/>
  <c r="U386" i="1"/>
  <c r="X386" i="1"/>
  <c r="AA386" i="1"/>
  <c r="R386" i="1"/>
  <c r="R890" i="1"/>
  <c r="U890" i="1"/>
  <c r="X890" i="1"/>
  <c r="AA890" i="1"/>
  <c r="R444" i="1"/>
  <c r="U444" i="1"/>
  <c r="X444" i="1"/>
  <c r="AA444" i="1"/>
  <c r="R59" i="1"/>
  <c r="U59" i="1"/>
  <c r="X59" i="1"/>
  <c r="R205" i="1"/>
  <c r="U205" i="1"/>
  <c r="X205" i="1"/>
  <c r="AA205" i="1"/>
  <c r="R250" i="1"/>
  <c r="U250" i="1"/>
  <c r="X250" i="1"/>
  <c r="AA250" i="1"/>
  <c r="U267" i="1"/>
  <c r="X267" i="1"/>
  <c r="AA267" i="1"/>
  <c r="R267" i="1"/>
  <c r="U52" i="1"/>
  <c r="X52" i="1"/>
  <c r="R52" i="1"/>
  <c r="R343" i="1"/>
  <c r="U343" i="1"/>
  <c r="X343" i="1"/>
  <c r="AA343" i="1"/>
  <c r="L105" i="1" l="1"/>
  <c r="AF105" i="1"/>
  <c r="AF69" i="1"/>
  <c r="L268" i="1"/>
  <c r="L251" i="1"/>
  <c r="AF88" i="1"/>
  <c r="L88" i="1"/>
  <c r="AF386" i="1"/>
  <c r="L370" i="1"/>
  <c r="AF444" i="1"/>
  <c r="AF205" i="1"/>
  <c r="AF59" i="1"/>
  <c r="AF267" i="1"/>
  <c r="AF52" i="1"/>
  <c r="AF343" i="1"/>
  <c r="R173" i="1"/>
  <c r="U173" i="1"/>
  <c r="X173" i="1"/>
  <c r="AA173" i="1"/>
  <c r="L386" i="1" l="1"/>
  <c r="AF890" i="1"/>
  <c r="L890" i="1"/>
  <c r="L444" i="1"/>
  <c r="L205" i="1"/>
  <c r="L59" i="1"/>
  <c r="L250" i="1"/>
  <c r="AF250" i="1"/>
  <c r="L267" i="1"/>
  <c r="L52" i="1"/>
  <c r="L343" i="1"/>
  <c r="AF173" i="1" l="1"/>
  <c r="L173" i="1"/>
  <c r="R25" i="1" l="1"/>
  <c r="U25" i="1"/>
  <c r="X25" i="1"/>
  <c r="AA25" i="1"/>
  <c r="U19" i="1"/>
  <c r="X19" i="1"/>
  <c r="AA19" i="1"/>
  <c r="R19" i="1"/>
  <c r="X58" i="1"/>
  <c r="U58" i="1"/>
  <c r="R58" i="1"/>
  <c r="AJ299" i="1"/>
  <c r="AI299" i="1"/>
  <c r="AJ134" i="1"/>
  <c r="AI134" i="1"/>
  <c r="AJ239" i="1"/>
  <c r="AI239" i="1"/>
  <c r="AJ12" i="1"/>
  <c r="AI12" i="1"/>
  <c r="AJ418" i="1"/>
  <c r="AI418" i="1"/>
  <c r="AJ225" i="1"/>
  <c r="AI225" i="1"/>
  <c r="AJ419" i="1"/>
  <c r="AI419" i="1"/>
  <c r="AF25" i="1" l="1"/>
  <c r="L58" i="1"/>
  <c r="AF19" i="1"/>
  <c r="L19" i="1" l="1"/>
  <c r="AF58" i="1"/>
  <c r="L25" i="1"/>
  <c r="U436" i="1"/>
  <c r="X436" i="1"/>
  <c r="AA436" i="1"/>
  <c r="R436" i="1"/>
  <c r="U230" i="1"/>
  <c r="X230" i="1"/>
  <c r="AA230" i="1"/>
  <c r="R230" i="1"/>
  <c r="U292" i="1"/>
  <c r="X292" i="1"/>
  <c r="AA292" i="1"/>
  <c r="R292" i="1"/>
  <c r="U184" i="1"/>
  <c r="X184" i="1"/>
  <c r="AA184" i="1"/>
  <c r="R184" i="1"/>
  <c r="R309" i="1"/>
  <c r="U309" i="1"/>
  <c r="X309" i="1"/>
  <c r="AA309" i="1"/>
  <c r="U424" i="1"/>
  <c r="X424" i="1"/>
  <c r="AA424" i="1"/>
  <c r="L436" i="1" l="1"/>
  <c r="AF230" i="1"/>
  <c r="AF292" i="1"/>
  <c r="AF184" i="1"/>
  <c r="AF309" i="1"/>
  <c r="AF424" i="1"/>
  <c r="R87" i="1"/>
  <c r="U87" i="1"/>
  <c r="X87" i="1"/>
  <c r="AA87" i="1"/>
  <c r="X172" i="1"/>
  <c r="AA172" i="1"/>
  <c r="U172" i="1"/>
  <c r="R172" i="1"/>
  <c r="L230" i="1" l="1"/>
  <c r="AF436" i="1"/>
  <c r="L292" i="1"/>
  <c r="L184" i="1"/>
  <c r="L309" i="1"/>
  <c r="L424" i="1"/>
  <c r="L172" i="1"/>
  <c r="L87" i="1"/>
  <c r="AA423" i="1"/>
  <c r="X423" i="1"/>
  <c r="U423" i="1"/>
  <c r="U303" i="1"/>
  <c r="X303" i="1"/>
  <c r="AA303" i="1"/>
  <c r="R303" i="1"/>
  <c r="AF172" i="1" l="1"/>
  <c r="AF303" i="1"/>
  <c r="AF423" i="1"/>
  <c r="AF87" i="1"/>
  <c r="AI330" i="1"/>
  <c r="L423" i="1" l="1"/>
  <c r="L303" i="1"/>
  <c r="AI821" i="1" l="1"/>
  <c r="AI818" i="1"/>
  <c r="AJ241" i="1"/>
  <c r="AJ39" i="1"/>
  <c r="AI39" i="1"/>
  <c r="AJ149" i="1"/>
  <c r="AI149" i="1"/>
  <c r="AJ330" i="1"/>
  <c r="X86" i="1"/>
  <c r="AA86" i="1"/>
  <c r="U86" i="1"/>
  <c r="R86" i="1"/>
  <c r="X137" i="1"/>
  <c r="U137" i="1"/>
  <c r="AA137" i="1"/>
  <c r="R137" i="1"/>
  <c r="R142" i="1"/>
  <c r="U43" i="1"/>
  <c r="X43" i="1"/>
  <c r="R43" i="1"/>
  <c r="U369" i="1"/>
  <c r="X369" i="1"/>
  <c r="AA369" i="1"/>
  <c r="R364" i="1"/>
  <c r="R365" i="1"/>
  <c r="R366" i="1"/>
  <c r="R367" i="1"/>
  <c r="R368" i="1"/>
  <c r="R369" i="1"/>
  <c r="U229" i="1"/>
  <c r="X229" i="1"/>
  <c r="AA229" i="1"/>
  <c r="R229" i="1"/>
  <c r="R284" i="1"/>
  <c r="U284" i="1"/>
  <c r="X284" i="1"/>
  <c r="AA284" i="1"/>
  <c r="U158" i="1"/>
  <c r="X158" i="1"/>
  <c r="AA158" i="1"/>
  <c r="R158" i="1"/>
  <c r="R249" i="1"/>
  <c r="U249" i="1"/>
  <c r="X249" i="1"/>
  <c r="AA249" i="1"/>
  <c r="R171" i="1"/>
  <c r="U171" i="1"/>
  <c r="X171" i="1"/>
  <c r="AA171" i="1"/>
  <c r="R326" i="1"/>
  <c r="U326" i="1"/>
  <c r="X326" i="1"/>
  <c r="AA326" i="1"/>
  <c r="U75" i="1"/>
  <c r="R75" i="1"/>
  <c r="X75" i="1"/>
  <c r="U248" i="1"/>
  <c r="X248" i="1"/>
  <c r="AA248" i="1"/>
  <c r="R248" i="1"/>
  <c r="U325" i="1"/>
  <c r="X325" i="1"/>
  <c r="AA325" i="1"/>
  <c r="R325" i="1"/>
  <c r="U443" i="1"/>
  <c r="X443" i="1"/>
  <c r="AA443" i="1"/>
  <c r="R443" i="1"/>
  <c r="U342" i="1"/>
  <c r="X342" i="1"/>
  <c r="AA342" i="1"/>
  <c r="R342" i="1"/>
  <c r="R68" i="1"/>
  <c r="U68" i="1"/>
  <c r="X68" i="1"/>
  <c r="AA68" i="1"/>
  <c r="R223" i="1"/>
  <c r="U223" i="1"/>
  <c r="X223" i="1"/>
  <c r="AA223" i="1"/>
  <c r="AF86" i="1" l="1"/>
  <c r="AF137" i="1"/>
  <c r="AF229" i="1"/>
  <c r="AF284" i="1"/>
  <c r="L171" i="1"/>
  <c r="AF158" i="1"/>
  <c r="AF249" i="1"/>
  <c r="AF326" i="1"/>
  <c r="AF75" i="1"/>
  <c r="AF248" i="1"/>
  <c r="AF325" i="1"/>
  <c r="L342" i="1"/>
  <c r="AF223" i="1"/>
  <c r="X247" i="1"/>
  <c r="AA247" i="1"/>
  <c r="U247" i="1"/>
  <c r="R247" i="1"/>
  <c r="AF68" i="1" l="1"/>
  <c r="AF369" i="1"/>
  <c r="AF171" i="1"/>
  <c r="L75" i="1"/>
  <c r="L86" i="1"/>
  <c r="L137" i="1"/>
  <c r="AF43" i="1"/>
  <c r="L43" i="1"/>
  <c r="L229" i="1"/>
  <c r="L284" i="1"/>
  <c r="L158" i="1"/>
  <c r="L249" i="1"/>
  <c r="L326" i="1"/>
  <c r="AF247" i="1"/>
  <c r="L248" i="1"/>
  <c r="L325" i="1"/>
  <c r="AF342" i="1"/>
  <c r="AF443" i="1"/>
  <c r="L443" i="1"/>
  <c r="L68" i="1"/>
  <c r="L223" i="1"/>
  <c r="AI242" i="1"/>
  <c r="AJ242" i="1"/>
  <c r="AI875" i="1"/>
  <c r="AJ421" i="1"/>
  <c r="AI421" i="1"/>
  <c r="AI867" i="1"/>
  <c r="AJ355" i="1"/>
  <c r="AI355" i="1"/>
  <c r="AJ331" i="1"/>
  <c r="AI331" i="1"/>
  <c r="AI641" i="1"/>
  <c r="L247" i="1" l="1"/>
  <c r="X380" i="1"/>
  <c r="U380" i="1"/>
  <c r="U379" i="1"/>
  <c r="R380" i="1"/>
  <c r="L369" i="1" l="1"/>
  <c r="AF380" i="1"/>
  <c r="AI819" i="1"/>
  <c r="AJ277" i="1"/>
  <c r="AI141" i="1"/>
  <c r="AJ166" i="1"/>
  <c r="AI166" i="1"/>
  <c r="AJ451" i="1"/>
  <c r="AI451" i="1"/>
  <c r="AJ704" i="1"/>
  <c r="AI704" i="1"/>
  <c r="AI449" i="1"/>
  <c r="AA889" i="1"/>
  <c r="X889" i="1"/>
  <c r="U889" i="1"/>
  <c r="R889" i="1"/>
  <c r="AJ220" i="1"/>
  <c r="AJ57" i="1"/>
  <c r="AI57" i="1"/>
  <c r="AJ135" i="1"/>
  <c r="AI135" i="1"/>
  <c r="AJ270" i="1"/>
  <c r="AI270" i="1"/>
  <c r="AJ64" i="1"/>
  <c r="AI64" i="1"/>
  <c r="AJ203" i="1"/>
  <c r="AI203" i="1"/>
  <c r="AI220" i="1"/>
  <c r="AJ761" i="1"/>
  <c r="AI761" i="1"/>
  <c r="L380" i="1" l="1"/>
  <c r="L889" i="1"/>
  <c r="AF889" i="1" l="1"/>
  <c r="AJ141" i="1"/>
  <c r="AJ731" i="1"/>
  <c r="AI731" i="1"/>
  <c r="AI692" i="1"/>
  <c r="X225" i="1"/>
  <c r="U225" i="1"/>
  <c r="R225" i="1"/>
  <c r="AJ300" i="1"/>
  <c r="AJ379" i="1"/>
  <c r="AI379" i="1"/>
  <c r="AI300" i="1"/>
  <c r="AJ55" i="1"/>
  <c r="AI55" i="1"/>
  <c r="AJ125" i="1"/>
  <c r="AI125" i="1"/>
  <c r="AJ262" i="1"/>
  <c r="AI262" i="1"/>
  <c r="AJ320" i="1"/>
  <c r="AI320" i="1"/>
  <c r="AJ306" i="1"/>
  <c r="AI306" i="1"/>
  <c r="AJ735" i="1"/>
  <c r="AI735" i="1"/>
  <c r="AI621" i="1"/>
  <c r="AI610" i="1"/>
  <c r="AI366" i="1"/>
  <c r="AJ366" i="1"/>
  <c r="AJ11" i="1"/>
  <c r="AI11" i="1"/>
  <c r="AJ705" i="1"/>
  <c r="AI705" i="1"/>
  <c r="AJ738" i="1"/>
  <c r="AI738" i="1"/>
  <c r="AJ779" i="1"/>
  <c r="AJ649" i="1"/>
  <c r="AI649" i="1"/>
  <c r="U358" i="1"/>
  <c r="X358" i="1"/>
  <c r="AA358" i="1"/>
  <c r="AJ743" i="1"/>
  <c r="AJ752" i="1"/>
  <c r="AJ321" i="1" l="1"/>
  <c r="AI321" i="1"/>
  <c r="AJ81" i="1" l="1"/>
  <c r="AI81" i="1"/>
  <c r="AJ96" i="1"/>
  <c r="AI96" i="1"/>
  <c r="AI743" i="1"/>
  <c r="AI616" i="1" l="1"/>
  <c r="R888" i="1"/>
  <c r="U888" i="1"/>
  <c r="X888" i="1"/>
  <c r="AA888" i="1"/>
  <c r="AA887" i="1" l="1"/>
  <c r="X887" i="1"/>
  <c r="U887" i="1"/>
  <c r="R887" i="1"/>
  <c r="AI204" i="1"/>
  <c r="AJ204" i="1"/>
  <c r="AF888" i="1" l="1"/>
  <c r="L888" i="1"/>
  <c r="AI798" i="1"/>
  <c r="AJ49" i="1"/>
  <c r="AI49" i="1"/>
  <c r="AJ152" i="1"/>
  <c r="AI152" i="1"/>
  <c r="AJ237" i="1"/>
  <c r="AI237" i="1"/>
  <c r="AJ296" i="1"/>
  <c r="AI296" i="1"/>
  <c r="AI636" i="1"/>
  <c r="AI648" i="1"/>
  <c r="AI453" i="1"/>
  <c r="L887" i="1" l="1"/>
  <c r="AF887" i="1"/>
  <c r="U886" i="1"/>
  <c r="X886" i="1"/>
  <c r="AA886" i="1"/>
  <c r="R886" i="1"/>
  <c r="AF886" i="1" l="1"/>
  <c r="R885" i="1"/>
  <c r="U885" i="1"/>
  <c r="X885" i="1"/>
  <c r="AA885" i="1"/>
  <c r="AJ244" i="1"/>
  <c r="AI244" i="1"/>
  <c r="AJ102" i="1"/>
  <c r="AI102" i="1"/>
  <c r="AJ785" i="1"/>
  <c r="AI785" i="1"/>
  <c r="AJ211" i="1"/>
  <c r="L886" i="1" l="1"/>
  <c r="AF885" i="1"/>
  <c r="AJ775" i="1"/>
  <c r="AI775" i="1"/>
  <c r="L885" i="1" l="1"/>
  <c r="AI774" i="1" l="1"/>
  <c r="AJ351" i="1"/>
  <c r="AI351" i="1"/>
  <c r="AJ816" i="1" l="1"/>
  <c r="AJ10" i="1"/>
  <c r="AI10" i="1"/>
  <c r="AJ21" i="1"/>
  <c r="AI21" i="1"/>
  <c r="AJ774" i="1"/>
  <c r="S740" i="1"/>
  <c r="T740" i="1"/>
  <c r="U882" i="1" l="1"/>
  <c r="U883" i="1"/>
  <c r="U884" i="1"/>
  <c r="X882" i="1"/>
  <c r="X883" i="1"/>
  <c r="X884" i="1"/>
  <c r="AA882" i="1"/>
  <c r="AA883" i="1"/>
  <c r="AA884" i="1"/>
  <c r="R882" i="1"/>
  <c r="R883" i="1"/>
  <c r="R884" i="1"/>
  <c r="L884" i="1" l="1"/>
  <c r="AF882" i="1"/>
  <c r="R880" i="1"/>
  <c r="R881" i="1"/>
  <c r="U880" i="1"/>
  <c r="U881" i="1"/>
  <c r="X880" i="1"/>
  <c r="X881" i="1"/>
  <c r="AA880" i="1"/>
  <c r="AA881" i="1"/>
  <c r="L882" i="1" l="1"/>
  <c r="AF884" i="1"/>
  <c r="L883" i="1"/>
  <c r="AF883" i="1"/>
  <c r="AF880" i="1"/>
  <c r="L881" i="1"/>
  <c r="AA876" i="1"/>
  <c r="AA877" i="1"/>
  <c r="AA878" i="1"/>
  <c r="AA879" i="1"/>
  <c r="X876" i="1"/>
  <c r="X877" i="1"/>
  <c r="X878" i="1"/>
  <c r="X879" i="1"/>
  <c r="U876" i="1"/>
  <c r="U877" i="1"/>
  <c r="U878" i="1"/>
  <c r="U879" i="1"/>
  <c r="R876" i="1"/>
  <c r="R877" i="1"/>
  <c r="R878" i="1"/>
  <c r="R879" i="1"/>
  <c r="AF877" i="1" l="1"/>
  <c r="AF879" i="1"/>
  <c r="L880" i="1"/>
  <c r="AF881" i="1"/>
  <c r="AF878" i="1"/>
  <c r="L876" i="1"/>
  <c r="R875" i="1"/>
  <c r="U875" i="1"/>
  <c r="X875" i="1"/>
  <c r="AA875" i="1"/>
  <c r="X873" i="1"/>
  <c r="X874" i="1"/>
  <c r="AA873" i="1"/>
  <c r="AA874" i="1"/>
  <c r="U873" i="1"/>
  <c r="U874" i="1"/>
  <c r="R873" i="1"/>
  <c r="R874" i="1"/>
  <c r="U872" i="1"/>
  <c r="X872" i="1"/>
  <c r="AA872" i="1"/>
  <c r="R872" i="1"/>
  <c r="L877" i="1" l="1"/>
  <c r="L879" i="1"/>
  <c r="L878" i="1"/>
  <c r="AF876" i="1"/>
  <c r="AF875" i="1"/>
  <c r="AF873" i="1"/>
  <c r="AF874" i="1"/>
  <c r="L872" i="1"/>
  <c r="AA871" i="1"/>
  <c r="X871" i="1"/>
  <c r="U871" i="1"/>
  <c r="R871" i="1"/>
  <c r="AA870" i="1"/>
  <c r="X870" i="1"/>
  <c r="U870" i="1"/>
  <c r="R870" i="1"/>
  <c r="L875" i="1" l="1"/>
  <c r="L874" i="1"/>
  <c r="L873" i="1"/>
  <c r="AF872" i="1"/>
  <c r="L871" i="1"/>
  <c r="L870" i="1"/>
  <c r="AF871" i="1" l="1"/>
  <c r="AF870" i="1"/>
  <c r="AJ431" i="1"/>
  <c r="AI431" i="1"/>
  <c r="AI674" i="1"/>
  <c r="AI629" i="1"/>
  <c r="R869" i="1" l="1"/>
  <c r="U869" i="1"/>
  <c r="X869" i="1"/>
  <c r="AJ346" i="1" l="1"/>
  <c r="AI346" i="1"/>
  <c r="AF869" i="1" l="1"/>
  <c r="L869" i="1"/>
  <c r="U96" i="1"/>
  <c r="X96" i="1"/>
  <c r="AA96" i="1"/>
  <c r="U868" i="1"/>
  <c r="X868" i="1"/>
  <c r="AA868" i="1"/>
  <c r="R868" i="1"/>
  <c r="L868" i="1" l="1"/>
  <c r="AF868" i="1" l="1"/>
  <c r="AA867" i="1"/>
  <c r="X867" i="1"/>
  <c r="U867" i="1"/>
  <c r="R867" i="1"/>
  <c r="AF867" i="1" l="1"/>
  <c r="L867" i="1" l="1"/>
  <c r="AJ416" i="1" l="1"/>
  <c r="AI416" i="1"/>
  <c r="AJ347" i="1"/>
  <c r="AI347" i="1"/>
  <c r="AJ728" i="1"/>
  <c r="AI728" i="1"/>
  <c r="AJ766" i="1"/>
  <c r="AI766" i="1"/>
  <c r="AJ759" i="1"/>
  <c r="AI759" i="1"/>
  <c r="U866" i="1"/>
  <c r="X866" i="1"/>
  <c r="AA866" i="1"/>
  <c r="R866" i="1"/>
  <c r="X865" i="1" l="1"/>
  <c r="U864" i="1"/>
  <c r="U865" i="1"/>
  <c r="X864" i="1"/>
  <c r="AA864" i="1"/>
  <c r="AA865" i="1"/>
  <c r="R864" i="1"/>
  <c r="R865" i="1"/>
  <c r="U863" i="1"/>
  <c r="X863" i="1"/>
  <c r="AA863" i="1"/>
  <c r="R863" i="1"/>
  <c r="L866" i="1" l="1"/>
  <c r="AF866" i="1"/>
  <c r="AF864" i="1"/>
  <c r="L863" i="1"/>
  <c r="AC740" i="1"/>
  <c r="AB740" i="1"/>
  <c r="W740" i="1"/>
  <c r="V740" i="1"/>
  <c r="L864" i="1" l="1"/>
  <c r="AF865" i="1"/>
  <c r="L865" i="1"/>
  <c r="AF863" i="1"/>
  <c r="AJ736" i="1"/>
  <c r="AI736" i="1"/>
  <c r="AJ772" i="1"/>
  <c r="AI772" i="1"/>
  <c r="U862" i="1"/>
  <c r="X862" i="1"/>
  <c r="AA862" i="1"/>
  <c r="U861" i="1" l="1"/>
  <c r="U860" i="1"/>
  <c r="X860" i="1"/>
  <c r="X861" i="1"/>
  <c r="AA861" i="1"/>
  <c r="AA860" i="1"/>
  <c r="R860" i="1"/>
  <c r="R861" i="1"/>
  <c r="R862" i="1"/>
  <c r="U859" i="1"/>
  <c r="U858" i="1"/>
  <c r="U857" i="1"/>
  <c r="X857" i="1"/>
  <c r="X858" i="1"/>
  <c r="X859" i="1"/>
  <c r="AA859" i="1"/>
  <c r="AA858" i="1"/>
  <c r="AA857" i="1"/>
  <c r="R857" i="1"/>
  <c r="R858" i="1"/>
  <c r="R859" i="1"/>
  <c r="U170" i="1"/>
  <c r="X170" i="1"/>
  <c r="AA170" i="1"/>
  <c r="R170" i="1"/>
  <c r="U856" i="1"/>
  <c r="X856" i="1"/>
  <c r="AA856" i="1"/>
  <c r="R856" i="1"/>
  <c r="AF861" i="1" l="1"/>
  <c r="AF860" i="1"/>
  <c r="AF862" i="1"/>
  <c r="AF857" i="1"/>
  <c r="AF858" i="1"/>
  <c r="L859" i="1"/>
  <c r="R853" i="1"/>
  <c r="R854" i="1"/>
  <c r="R855" i="1"/>
  <c r="U855" i="1"/>
  <c r="U854" i="1"/>
  <c r="U853" i="1"/>
  <c r="X853" i="1"/>
  <c r="X854" i="1"/>
  <c r="X855" i="1"/>
  <c r="AA855" i="1"/>
  <c r="AA854" i="1"/>
  <c r="AA853" i="1"/>
  <c r="L862" i="1" l="1"/>
  <c r="L861" i="1"/>
  <c r="L860" i="1"/>
  <c r="L857" i="1"/>
  <c r="AF859" i="1"/>
  <c r="L858" i="1"/>
  <c r="L170" i="1"/>
  <c r="AF170" i="1"/>
  <c r="AF856" i="1"/>
  <c r="L856" i="1"/>
  <c r="AF853" i="1"/>
  <c r="AF854" i="1"/>
  <c r="L853" i="1" l="1"/>
  <c r="AF855" i="1"/>
  <c r="L855" i="1"/>
  <c r="L854" i="1"/>
  <c r="U157" i="1"/>
  <c r="X157" i="1"/>
  <c r="AA157" i="1"/>
  <c r="R157" i="1"/>
  <c r="AF157" i="1" l="1"/>
  <c r="AJ457" i="1"/>
  <c r="AI457" i="1"/>
  <c r="AJ47" i="1"/>
  <c r="AI47" i="1"/>
  <c r="AI448" i="1"/>
  <c r="L157" i="1" l="1"/>
  <c r="U852" i="1"/>
  <c r="X852" i="1"/>
  <c r="AA852" i="1"/>
  <c r="R852" i="1"/>
  <c r="U422" i="1" l="1"/>
  <c r="X422" i="1"/>
  <c r="AA422" i="1"/>
  <c r="AF852" i="1" l="1"/>
  <c r="L852" i="1"/>
  <c r="AF422" i="1"/>
  <c r="U144" i="1"/>
  <c r="X144" i="1"/>
  <c r="AA144" i="1"/>
  <c r="R144" i="1"/>
  <c r="L422" i="1" l="1"/>
  <c r="L144" i="1"/>
  <c r="U604" i="1"/>
  <c r="X604" i="1"/>
  <c r="AA604" i="1"/>
  <c r="U605" i="1"/>
  <c r="X605" i="1"/>
  <c r="AA605" i="1"/>
  <c r="R606" i="1"/>
  <c r="U606" i="1"/>
  <c r="X606" i="1"/>
  <c r="AA606" i="1"/>
  <c r="U169" i="1"/>
  <c r="X169" i="1"/>
  <c r="AA169" i="1"/>
  <c r="R169" i="1"/>
  <c r="AF144" i="1" l="1"/>
  <c r="L605" i="1"/>
  <c r="L606" i="1"/>
  <c r="AF169" i="1"/>
  <c r="M812" i="1"/>
  <c r="M811" i="1"/>
  <c r="AF604" i="1" l="1"/>
  <c r="AF605" i="1"/>
  <c r="L604" i="1"/>
  <c r="AF606" i="1"/>
  <c r="L169" i="1"/>
  <c r="U168" i="1"/>
  <c r="X168" i="1"/>
  <c r="AA168" i="1"/>
  <c r="R168" i="1"/>
  <c r="AF168" i="1" l="1"/>
  <c r="U851" i="1"/>
  <c r="X851" i="1"/>
  <c r="AA851" i="1"/>
  <c r="R851" i="1"/>
  <c r="U18" i="1"/>
  <c r="X18" i="1"/>
  <c r="AA18" i="1"/>
  <c r="R18" i="1"/>
  <c r="AA353" i="1"/>
  <c r="X353" i="1"/>
  <c r="U353" i="1"/>
  <c r="R353" i="1"/>
  <c r="U336" i="1"/>
  <c r="X336" i="1"/>
  <c r="AA336" i="1"/>
  <c r="R336" i="1"/>
  <c r="X368" i="1"/>
  <c r="U368" i="1"/>
  <c r="AA368" i="1"/>
  <c r="U266" i="1"/>
  <c r="X266" i="1"/>
  <c r="AA266" i="1"/>
  <c r="R266" i="1"/>
  <c r="U352" i="1"/>
  <c r="X352" i="1"/>
  <c r="AA352" i="1"/>
  <c r="R352" i="1"/>
  <c r="AA421" i="1"/>
  <c r="X421" i="1"/>
  <c r="U421" i="1"/>
  <c r="L168" i="1" l="1"/>
  <c r="AF18" i="1"/>
  <c r="AF336" i="1"/>
  <c r="AF368" i="1"/>
  <c r="AF266" i="1"/>
  <c r="AF352" i="1"/>
  <c r="AF421" i="1"/>
  <c r="U272" i="1"/>
  <c r="X272" i="1"/>
  <c r="AA272" i="1"/>
  <c r="R272" i="1"/>
  <c r="U435" i="1"/>
  <c r="X435" i="1"/>
  <c r="AA435" i="1"/>
  <c r="R435" i="1"/>
  <c r="R74" i="1"/>
  <c r="R73" i="1"/>
  <c r="U74" i="1"/>
  <c r="X74" i="1"/>
  <c r="U246" i="1"/>
  <c r="X246" i="1"/>
  <c r="AA246" i="1"/>
  <c r="R246" i="1"/>
  <c r="U302" i="1"/>
  <c r="X302" i="1"/>
  <c r="AA302" i="1"/>
  <c r="R302" i="1"/>
  <c r="U156" i="1"/>
  <c r="X156" i="1"/>
  <c r="AA156" i="1"/>
  <c r="R156" i="1"/>
  <c r="U155" i="1"/>
  <c r="X155" i="1"/>
  <c r="AA155" i="1"/>
  <c r="R155" i="1"/>
  <c r="AF851" i="1" l="1"/>
  <c r="L851" i="1"/>
  <c r="L18" i="1"/>
  <c r="L353" i="1"/>
  <c r="AF353" i="1"/>
  <c r="L336" i="1"/>
  <c r="L368" i="1"/>
  <c r="L266" i="1"/>
  <c r="L352" i="1"/>
  <c r="L421" i="1"/>
  <c r="AF74" i="1"/>
  <c r="AF435" i="1"/>
  <c r="AF246" i="1"/>
  <c r="AF302" i="1"/>
  <c r="AF156" i="1"/>
  <c r="AF155" i="1"/>
  <c r="AA850" i="1"/>
  <c r="X850" i="1"/>
  <c r="U850" i="1"/>
  <c r="R850" i="1"/>
  <c r="L435" i="1" l="1"/>
  <c r="L74" i="1"/>
  <c r="L246" i="1"/>
  <c r="L302" i="1"/>
  <c r="L156" i="1"/>
  <c r="L155" i="1"/>
  <c r="AJ383" i="1"/>
  <c r="AI383" i="1"/>
  <c r="AJ375" i="1"/>
  <c r="AI375" i="1"/>
  <c r="AJ750" i="1"/>
  <c r="AI750" i="1"/>
  <c r="AI608" i="1"/>
  <c r="U42" i="1"/>
  <c r="X42" i="1"/>
  <c r="R42" i="1"/>
  <c r="X341" i="1"/>
  <c r="AA341" i="1"/>
  <c r="U341" i="1"/>
  <c r="R341" i="1"/>
  <c r="AF850" i="1" l="1"/>
  <c r="L850" i="1"/>
  <c r="AF42" i="1"/>
  <c r="AA129" i="1"/>
  <c r="U129" i="1"/>
  <c r="X129" i="1"/>
  <c r="R129" i="1"/>
  <c r="U17" i="1"/>
  <c r="X17" i="1"/>
  <c r="AA17" i="1"/>
  <c r="R17" i="1"/>
  <c r="U67" i="1"/>
  <c r="X67" i="1"/>
  <c r="AA67" i="1"/>
  <c r="R67" i="1"/>
  <c r="U51" i="1"/>
  <c r="X51" i="1"/>
  <c r="R51" i="1"/>
  <c r="U308" i="1"/>
  <c r="X308" i="1"/>
  <c r="AA308" i="1"/>
  <c r="R308" i="1"/>
  <c r="U16" i="1"/>
  <c r="X16" i="1"/>
  <c r="AA16" i="1"/>
  <c r="R16" i="1"/>
  <c r="AA66" i="1"/>
  <c r="U66" i="1"/>
  <c r="X66" i="1"/>
  <c r="R66" i="1"/>
  <c r="U85" i="1"/>
  <c r="X85" i="1"/>
  <c r="AA85" i="1"/>
  <c r="R85" i="1"/>
  <c r="U283" i="1"/>
  <c r="X283" i="1"/>
  <c r="AA283" i="1"/>
  <c r="R283" i="1"/>
  <c r="U154" i="1"/>
  <c r="X154" i="1"/>
  <c r="AA154" i="1"/>
  <c r="R154" i="1"/>
  <c r="U442" i="1"/>
  <c r="X442" i="1"/>
  <c r="AA442" i="1"/>
  <c r="R442" i="1"/>
  <c r="U359" i="1"/>
  <c r="X359" i="1"/>
  <c r="AA359" i="1"/>
  <c r="R359" i="1"/>
  <c r="U357" i="1"/>
  <c r="R358" i="1"/>
  <c r="U197" i="1"/>
  <c r="X197" i="1"/>
  <c r="AA197" i="1"/>
  <c r="R197" i="1"/>
  <c r="AF341" i="1" l="1"/>
  <c r="L42" i="1"/>
  <c r="L341" i="1"/>
  <c r="AF129" i="1"/>
  <c r="AF17" i="1"/>
  <c r="AF67" i="1"/>
  <c r="AF51" i="1"/>
  <c r="AF308" i="1"/>
  <c r="AF16" i="1"/>
  <c r="AF66" i="1"/>
  <c r="AF85" i="1"/>
  <c r="AF283" i="1"/>
  <c r="L154" i="1"/>
  <c r="L442" i="1"/>
  <c r="AF359" i="1"/>
  <c r="AF358" i="1"/>
  <c r="AF197" i="1"/>
  <c r="L129" i="1" l="1"/>
  <c r="L17" i="1"/>
  <c r="L67" i="1"/>
  <c r="L51" i="1"/>
  <c r="L308" i="1"/>
  <c r="L16" i="1"/>
  <c r="L66" i="1"/>
  <c r="L85" i="1"/>
  <c r="L283" i="1"/>
  <c r="AF154" i="1"/>
  <c r="AF442" i="1"/>
  <c r="L359" i="1"/>
  <c r="L197" i="1"/>
  <c r="L358" i="1"/>
  <c r="U228" i="1"/>
  <c r="X228" i="1"/>
  <c r="AA228" i="1"/>
  <c r="R228" i="1"/>
  <c r="AF228" i="1" l="1"/>
  <c r="R357" i="1"/>
  <c r="X357" i="1"/>
  <c r="AA357" i="1"/>
  <c r="L228" i="1" l="1"/>
  <c r="AF357" i="1"/>
  <c r="AJ744" i="1"/>
  <c r="AI744" i="1"/>
  <c r="L357" i="1" l="1"/>
  <c r="X379" i="1" l="1"/>
  <c r="R379" i="1"/>
  <c r="U271" i="1"/>
  <c r="X271" i="1"/>
  <c r="AA271" i="1"/>
  <c r="R271" i="1"/>
  <c r="U356" i="1"/>
  <c r="X356" i="1"/>
  <c r="AA356" i="1"/>
  <c r="R356" i="1"/>
  <c r="AF356" i="1" l="1"/>
  <c r="AF379" i="1" l="1"/>
  <c r="L379" i="1"/>
  <c r="L356" i="1"/>
  <c r="U84" i="1"/>
  <c r="X84" i="1"/>
  <c r="AA84" i="1"/>
  <c r="R84" i="1"/>
  <c r="U340" i="1"/>
  <c r="X340" i="1"/>
  <c r="AA340" i="1"/>
  <c r="R340" i="1"/>
  <c r="X57" i="1"/>
  <c r="U57" i="1"/>
  <c r="R57" i="1"/>
  <c r="AF84" i="1" l="1"/>
  <c r="AF57" i="1"/>
  <c r="L84" i="1" l="1"/>
  <c r="AF340" i="1"/>
  <c r="L340" i="1"/>
  <c r="L57" i="1"/>
  <c r="U32" i="1"/>
  <c r="X32" i="1"/>
  <c r="AA32" i="1"/>
  <c r="R32" i="1"/>
  <c r="AA245" i="1"/>
  <c r="X245" i="1"/>
  <c r="U245" i="1"/>
  <c r="R245" i="1"/>
  <c r="U153" i="1"/>
  <c r="X153" i="1"/>
  <c r="AA153" i="1"/>
  <c r="R153" i="1"/>
  <c r="U183" i="1"/>
  <c r="X183" i="1"/>
  <c r="AA183" i="1"/>
  <c r="R183" i="1"/>
  <c r="AA301" i="1"/>
  <c r="X301" i="1"/>
  <c r="U301" i="1"/>
  <c r="R301" i="1"/>
  <c r="R434" i="1"/>
  <c r="AA434" i="1"/>
  <c r="X434" i="1"/>
  <c r="U434" i="1"/>
  <c r="AF32" i="1" l="1"/>
  <c r="L245" i="1"/>
  <c r="AF153" i="1"/>
  <c r="AF183" i="1"/>
  <c r="L301" i="1"/>
  <c r="AF434" i="1"/>
  <c r="AF245" i="1" l="1"/>
  <c r="L153" i="1"/>
  <c r="L32" i="1"/>
  <c r="L183" i="1"/>
  <c r="AF301" i="1"/>
  <c r="L434" i="1"/>
  <c r="AA291" i="1" l="1"/>
  <c r="X291" i="1"/>
  <c r="U291" i="1"/>
  <c r="R291" i="1"/>
  <c r="U143" i="1"/>
  <c r="X143" i="1"/>
  <c r="AA143" i="1"/>
  <c r="R143" i="1"/>
  <c r="AA324" i="1"/>
  <c r="X324" i="1"/>
  <c r="U324" i="1"/>
  <c r="R324" i="1"/>
  <c r="AF143" i="1" l="1"/>
  <c r="AF324" i="1"/>
  <c r="L324" i="1" l="1"/>
  <c r="L291" i="1"/>
  <c r="AF291" i="1"/>
  <c r="L143" i="1"/>
  <c r="U265" i="1"/>
  <c r="X265" i="1"/>
  <c r="AA265" i="1"/>
  <c r="R265" i="1"/>
  <c r="U264" i="1"/>
  <c r="X264" i="1"/>
  <c r="AA264" i="1"/>
  <c r="R264" i="1"/>
  <c r="AF265" i="1" l="1"/>
  <c r="L264" i="1"/>
  <c r="AA128" i="1"/>
  <c r="X128" i="1"/>
  <c r="U128" i="1"/>
  <c r="R128" i="1"/>
  <c r="X50" i="1"/>
  <c r="U50" i="1"/>
  <c r="R50" i="1"/>
  <c r="AA142" i="1"/>
  <c r="X142" i="1"/>
  <c r="U142" i="1"/>
  <c r="AA213" i="1"/>
  <c r="X213" i="1"/>
  <c r="U213" i="1"/>
  <c r="R213" i="1"/>
  <c r="AA136" i="1"/>
  <c r="U136" i="1"/>
  <c r="R136" i="1"/>
  <c r="L50" i="1" l="1"/>
  <c r="L265" i="1"/>
  <c r="AF264" i="1"/>
  <c r="L142" i="1"/>
  <c r="AF213" i="1"/>
  <c r="AA222" i="1"/>
  <c r="X222" i="1"/>
  <c r="U222" i="1"/>
  <c r="R222" i="1"/>
  <c r="AA335" i="1"/>
  <c r="X335" i="1"/>
  <c r="U335" i="1"/>
  <c r="R335" i="1"/>
  <c r="AA300" i="1"/>
  <c r="X300" i="1"/>
  <c r="U300" i="1"/>
  <c r="R300" i="1"/>
  <c r="X378" i="1"/>
  <c r="U378" i="1"/>
  <c r="R378" i="1"/>
  <c r="AA307" i="1"/>
  <c r="X307" i="1"/>
  <c r="U307" i="1"/>
  <c r="R307" i="1"/>
  <c r="AA299" i="1"/>
  <c r="X299" i="1"/>
  <c r="U299" i="1"/>
  <c r="R299" i="1"/>
  <c r="AA290" i="1"/>
  <c r="X290" i="1"/>
  <c r="U290" i="1"/>
  <c r="R290" i="1"/>
  <c r="AA420" i="1"/>
  <c r="X420" i="1"/>
  <c r="U420" i="1"/>
  <c r="AA212" i="1"/>
  <c r="X212" i="1"/>
  <c r="U212" i="1"/>
  <c r="R212" i="1"/>
  <c r="X41" i="1"/>
  <c r="U41" i="1"/>
  <c r="R41" i="1"/>
  <c r="AF50" i="1" l="1"/>
  <c r="L213" i="1"/>
  <c r="AF128" i="1"/>
  <c r="L128" i="1"/>
  <c r="AF142" i="1"/>
  <c r="L222" i="1"/>
  <c r="AF335" i="1"/>
  <c r="L300" i="1"/>
  <c r="AF378" i="1"/>
  <c r="L299" i="1"/>
  <c r="L290" i="1"/>
  <c r="AF420" i="1"/>
  <c r="L212" i="1"/>
  <c r="AF41" i="1"/>
  <c r="AF222" i="1" l="1"/>
  <c r="L335" i="1"/>
  <c r="AF300" i="1"/>
  <c r="L378" i="1"/>
  <c r="AF307" i="1"/>
  <c r="L307" i="1"/>
  <c r="AF299" i="1"/>
  <c r="AF290" i="1"/>
  <c r="L420" i="1"/>
  <c r="AF212" i="1"/>
  <c r="L41" i="1"/>
  <c r="AJ672" i="1" l="1"/>
  <c r="AI672" i="1"/>
  <c r="AJ756" i="1"/>
  <c r="AI756" i="1"/>
  <c r="AA441" i="1" l="1"/>
  <c r="X441" i="1"/>
  <c r="U441" i="1"/>
  <c r="R441" i="1"/>
  <c r="U40" i="1"/>
  <c r="X40" i="1"/>
  <c r="R40" i="1"/>
  <c r="AA244" i="1"/>
  <c r="X244" i="1"/>
  <c r="U244" i="1"/>
  <c r="R244" i="1"/>
  <c r="AA351" i="1"/>
  <c r="X351" i="1"/>
  <c r="U351" i="1"/>
  <c r="R351" i="1"/>
  <c r="L40" i="1" l="1"/>
  <c r="L244" i="1"/>
  <c r="AF351" i="1" l="1"/>
  <c r="L441" i="1"/>
  <c r="AF441" i="1"/>
  <c r="AF40" i="1"/>
  <c r="AF244" i="1"/>
  <c r="L351" i="1"/>
  <c r="AA263" i="1" l="1"/>
  <c r="X263" i="1"/>
  <c r="U263" i="1"/>
  <c r="R263" i="1"/>
  <c r="AA127" i="1"/>
  <c r="X127" i="1"/>
  <c r="U127" i="1"/>
  <c r="R127" i="1"/>
  <c r="AA15" i="1"/>
  <c r="X15" i="1"/>
  <c r="U15" i="1"/>
  <c r="R15" i="1"/>
  <c r="AF127" i="1" l="1"/>
  <c r="AF263" i="1"/>
  <c r="AF15" i="1" l="1"/>
  <c r="L15" i="1"/>
  <c r="L127" i="1"/>
  <c r="L263" i="1"/>
  <c r="AJ770" i="1"/>
  <c r="AI770" i="1"/>
  <c r="AJ769" i="1"/>
  <c r="AI769" i="1"/>
  <c r="AJ456" i="1"/>
  <c r="AJ708" i="1"/>
  <c r="AI708" i="1"/>
  <c r="AJ765" i="1"/>
  <c r="AI765" i="1"/>
  <c r="AJ755" i="1"/>
  <c r="AI755" i="1"/>
  <c r="AJ701" i="1"/>
  <c r="AI701" i="1"/>
  <c r="AJ696" i="1"/>
  <c r="AI696" i="1"/>
  <c r="AJ702" i="1"/>
  <c r="AI702" i="1"/>
  <c r="AJ640" i="1"/>
  <c r="AI640" i="1"/>
  <c r="AJ720" i="1"/>
  <c r="AI720" i="1"/>
  <c r="AJ713" i="1"/>
  <c r="AI713" i="1"/>
  <c r="AJ716" i="1"/>
  <c r="AI716" i="1"/>
  <c r="AI754" i="1"/>
  <c r="AJ746" i="1"/>
  <c r="AI746" i="1"/>
  <c r="AA779" i="1" l="1"/>
  <c r="X779" i="1"/>
  <c r="U779" i="1"/>
  <c r="R779" i="1"/>
  <c r="AF779" i="1" l="1"/>
  <c r="AA104" i="1"/>
  <c r="X104" i="1"/>
  <c r="U104" i="1"/>
  <c r="R104" i="1"/>
  <c r="AF104" i="1" l="1"/>
  <c r="AA103" i="1"/>
  <c r="X103" i="1"/>
  <c r="U103" i="1"/>
  <c r="R103" i="1"/>
  <c r="L104" i="1" l="1"/>
  <c r="AF103" i="1" l="1"/>
  <c r="L103" i="1"/>
  <c r="AJ715" i="1" l="1"/>
  <c r="AI715" i="1"/>
  <c r="AI752" i="1"/>
  <c r="AJ732" i="1"/>
  <c r="AI732" i="1"/>
  <c r="AJ757" i="1"/>
  <c r="AI757" i="1"/>
  <c r="AJ753" i="1"/>
  <c r="AI753" i="1"/>
  <c r="AJ703" i="1"/>
  <c r="AI703" i="1"/>
  <c r="AJ685" i="1"/>
  <c r="AI685" i="1"/>
  <c r="AJ748" i="1"/>
  <c r="AI748" i="1"/>
  <c r="AJ709" i="1"/>
  <c r="AI709" i="1"/>
  <c r="AJ762" i="1"/>
  <c r="AI762" i="1"/>
  <c r="AJ754" i="1"/>
  <c r="AJ763" i="1"/>
  <c r="AI763" i="1"/>
  <c r="AJ639" i="1"/>
  <c r="AI639" i="1"/>
  <c r="AA849" i="1" l="1"/>
  <c r="X849" i="1"/>
  <c r="U849" i="1"/>
  <c r="R849" i="1"/>
  <c r="L849" i="1" l="1"/>
  <c r="U772" i="1"/>
  <c r="AF849" i="1" l="1"/>
  <c r="AA848" i="1"/>
  <c r="X848" i="1"/>
  <c r="U848" i="1"/>
  <c r="R848" i="1"/>
  <c r="AF848" i="1" l="1"/>
  <c r="AI706" i="1"/>
  <c r="AI742" i="1"/>
  <c r="AJ706" i="1"/>
  <c r="L848" i="1" l="1"/>
  <c r="AA847" i="1"/>
  <c r="X847" i="1"/>
  <c r="U847" i="1"/>
  <c r="R847" i="1"/>
  <c r="AF847" i="1" l="1"/>
  <c r="L847" i="1" l="1"/>
  <c r="L242" i="1" l="1"/>
  <c r="AA836" i="1" l="1"/>
  <c r="X836" i="1"/>
  <c r="U836" i="1"/>
  <c r="R836" i="1"/>
  <c r="AF836" i="1" l="1"/>
  <c r="L836" i="1"/>
  <c r="AA845" i="1" l="1"/>
  <c r="X845" i="1"/>
  <c r="U845" i="1"/>
  <c r="R845" i="1"/>
  <c r="AF845" i="1" l="1"/>
  <c r="U83" i="1"/>
  <c r="L845" i="1" l="1"/>
  <c r="AI734" i="1"/>
  <c r="AJ734" i="1"/>
  <c r="AI93" i="1"/>
  <c r="AJ164" i="1" l="1"/>
  <c r="AJ718" i="1"/>
  <c r="AI718" i="1"/>
  <c r="AJ721" i="1"/>
  <c r="AI721" i="1"/>
  <c r="AJ667" i="1" l="1"/>
  <c r="AI667" i="1"/>
  <c r="AJ673" i="1"/>
  <c r="AI673" i="1"/>
  <c r="AJ686" i="1"/>
  <c r="AI686" i="1"/>
  <c r="AJ697" i="1"/>
  <c r="AI697" i="1"/>
  <c r="AJ723" i="1"/>
  <c r="AI723" i="1"/>
  <c r="AJ724" i="1"/>
  <c r="AI724" i="1"/>
  <c r="AJ739" i="1"/>
  <c r="AI739" i="1"/>
  <c r="AJ677" i="1"/>
  <c r="AI677" i="1"/>
  <c r="AJ742" i="1"/>
  <c r="AJ751" i="1"/>
  <c r="AI751" i="1"/>
  <c r="AJ698" i="1"/>
  <c r="AI698" i="1"/>
  <c r="AJ745" i="1"/>
  <c r="AI745" i="1"/>
  <c r="AJ749" i="1"/>
  <c r="AI749" i="1"/>
  <c r="AJ741" i="1"/>
  <c r="AI741" i="1"/>
  <c r="AJ725" i="1"/>
  <c r="AI725" i="1"/>
  <c r="AJ714" i="1" l="1"/>
  <c r="AI714" i="1"/>
  <c r="AJ733" i="1" l="1"/>
  <c r="AI733" i="1"/>
  <c r="AJ737" i="1"/>
  <c r="AI737" i="1"/>
  <c r="AJ722" i="1"/>
  <c r="AI722" i="1"/>
  <c r="AJ719" i="1"/>
  <c r="AI719" i="1"/>
  <c r="AJ710" i="1"/>
  <c r="AI710" i="1"/>
  <c r="AJ712" i="1"/>
  <c r="AI712" i="1"/>
  <c r="AJ93" i="1" l="1"/>
  <c r="AJ46" i="1"/>
  <c r="AI646" i="1"/>
  <c r="AA844" i="1" l="1"/>
  <c r="X844" i="1"/>
  <c r="U844" i="1"/>
  <c r="R844" i="1"/>
  <c r="L844" i="1" l="1"/>
  <c r="AF844" i="1" l="1"/>
  <c r="AA843" i="1"/>
  <c r="X843" i="1"/>
  <c r="U843" i="1"/>
  <c r="R843" i="1"/>
  <c r="AA842" i="1"/>
  <c r="X842" i="1"/>
  <c r="U842" i="1"/>
  <c r="R842" i="1"/>
  <c r="X841" i="1"/>
  <c r="U841" i="1"/>
  <c r="R841" i="1"/>
  <c r="AF842" i="1" l="1"/>
  <c r="AF843" i="1"/>
  <c r="L841" i="1"/>
  <c r="X840" i="1"/>
  <c r="U840" i="1"/>
  <c r="R840" i="1"/>
  <c r="L843" i="1" l="1"/>
  <c r="L842" i="1"/>
  <c r="AF841" i="1"/>
  <c r="AF840" i="1"/>
  <c r="L840" i="1" l="1"/>
  <c r="X839" i="1" l="1"/>
  <c r="U839" i="1"/>
  <c r="R839" i="1"/>
  <c r="AF839" i="1" l="1"/>
  <c r="L839" i="1" l="1"/>
  <c r="AJ689" i="1"/>
  <c r="AI689" i="1"/>
  <c r="AI695" i="1"/>
  <c r="AJ695" i="1"/>
  <c r="AJ656" i="1"/>
  <c r="AI656" i="1"/>
  <c r="AJ700" i="1"/>
  <c r="AI700" i="1"/>
  <c r="AJ661" i="1"/>
  <c r="AI661" i="1"/>
  <c r="AJ717" i="1"/>
  <c r="AI717" i="1"/>
  <c r="AJ690" i="1"/>
  <c r="AI690" i="1"/>
  <c r="AJ699" i="1"/>
  <c r="AI699" i="1"/>
  <c r="AJ684" i="1"/>
  <c r="AI684" i="1"/>
  <c r="AJ678" i="1"/>
  <c r="AI678" i="1"/>
  <c r="AJ658" i="1"/>
  <c r="AI658" i="1"/>
  <c r="AJ694" i="1"/>
  <c r="AI694" i="1"/>
  <c r="AJ758" i="1"/>
  <c r="AI758" i="1"/>
  <c r="R730" i="1" l="1"/>
  <c r="X838" i="1" l="1"/>
  <c r="U838" i="1"/>
  <c r="R838" i="1"/>
  <c r="L838" i="1" l="1"/>
  <c r="AF838" i="1" l="1"/>
  <c r="X837" i="1"/>
  <c r="U837" i="1"/>
  <c r="R837" i="1"/>
  <c r="AF837" i="1" l="1"/>
  <c r="L837" i="1" l="1"/>
  <c r="X347" i="1" l="1"/>
  <c r="AA835" i="1" l="1"/>
  <c r="X835" i="1"/>
  <c r="U835" i="1"/>
  <c r="R835" i="1"/>
  <c r="L835" i="1" l="1"/>
  <c r="AF835" i="1" l="1"/>
  <c r="X846" i="1"/>
  <c r="U846" i="1"/>
  <c r="R846" i="1"/>
  <c r="L846" i="1" l="1"/>
  <c r="AF846" i="1" l="1"/>
  <c r="AJ657" i="1" l="1"/>
  <c r="AI657" i="1"/>
  <c r="AJ683" i="1"/>
  <c r="AI683" i="1"/>
  <c r="AJ727" i="1"/>
  <c r="AI727" i="1"/>
  <c r="AJ740" i="1"/>
  <c r="AI740" i="1"/>
  <c r="AJ680" i="1"/>
  <c r="AI680" i="1"/>
  <c r="AJ682" i="1"/>
  <c r="AI682" i="1"/>
  <c r="AJ664" i="1" l="1"/>
  <c r="AI664" i="1"/>
  <c r="AJ726" i="1"/>
  <c r="AI726" i="1"/>
  <c r="AJ665" i="1"/>
  <c r="AI665" i="1"/>
  <c r="AJ659" i="1"/>
  <c r="AI659" i="1"/>
  <c r="AJ654" i="1"/>
  <c r="AI654" i="1"/>
  <c r="AA833" i="1" l="1"/>
  <c r="X833" i="1"/>
  <c r="U833" i="1"/>
  <c r="R833" i="1"/>
  <c r="L833" i="1" l="1"/>
  <c r="AJ95" i="1"/>
  <c r="AI95" i="1"/>
  <c r="AF833" i="1" l="1"/>
  <c r="AA834" i="1"/>
  <c r="X834" i="1"/>
  <c r="U834" i="1"/>
  <c r="R834" i="1"/>
  <c r="L834" i="1" l="1"/>
  <c r="AA832" i="1"/>
  <c r="X832" i="1"/>
  <c r="U832" i="1"/>
  <c r="R832" i="1"/>
  <c r="AF834" i="1" l="1"/>
  <c r="AA316" i="1"/>
  <c r="X316" i="1"/>
  <c r="U316" i="1"/>
  <c r="R316" i="1"/>
  <c r="L832" i="1" l="1"/>
  <c r="AF832" i="1"/>
  <c r="AF316" i="1"/>
  <c r="L316" i="1" l="1"/>
  <c r="AA831" i="1"/>
  <c r="X831" i="1"/>
  <c r="U831" i="1"/>
  <c r="R831" i="1"/>
  <c r="AA829" i="1" l="1"/>
  <c r="X829" i="1"/>
  <c r="U829" i="1"/>
  <c r="R829" i="1"/>
  <c r="AF831" i="1" l="1"/>
  <c r="L831" i="1"/>
  <c r="AF829" i="1"/>
  <c r="AE383" i="1"/>
  <c r="L829" i="1" l="1"/>
  <c r="AA830" i="1"/>
  <c r="X830" i="1"/>
  <c r="U830" i="1"/>
  <c r="R830" i="1"/>
  <c r="M810" i="1"/>
  <c r="M809" i="1"/>
  <c r="AA827" i="1" l="1"/>
  <c r="X827" i="1"/>
  <c r="U827" i="1"/>
  <c r="R827" i="1"/>
  <c r="L830" i="1" l="1"/>
  <c r="AF830" i="1"/>
  <c r="AF827" i="1"/>
  <c r="AA828" i="1"/>
  <c r="X828" i="1"/>
  <c r="U828" i="1"/>
  <c r="R828" i="1"/>
  <c r="L827" i="1" l="1"/>
  <c r="AA826" i="1"/>
  <c r="X826" i="1"/>
  <c r="U826" i="1"/>
  <c r="R826" i="1"/>
  <c r="AF828" i="1" l="1"/>
  <c r="L828" i="1"/>
  <c r="L826" i="1"/>
  <c r="AA825" i="1"/>
  <c r="X825" i="1"/>
  <c r="U825" i="1"/>
  <c r="R825" i="1"/>
  <c r="AF826" i="1" l="1"/>
  <c r="L825" i="1"/>
  <c r="AA824" i="1"/>
  <c r="X824" i="1"/>
  <c r="U824" i="1"/>
  <c r="R824" i="1"/>
  <c r="AF825" i="1" l="1"/>
  <c r="AA757" i="1"/>
  <c r="L824" i="1" l="1"/>
  <c r="AF824" i="1"/>
  <c r="AA823" i="1"/>
  <c r="X823" i="1"/>
  <c r="U823" i="1"/>
  <c r="R823" i="1"/>
  <c r="AA282" i="1" l="1"/>
  <c r="U282" i="1"/>
  <c r="R282" i="1"/>
  <c r="L823" i="1" l="1"/>
  <c r="AF823" i="1"/>
  <c r="L282" i="1"/>
  <c r="AF282" i="1" l="1"/>
  <c r="X55" i="1" l="1"/>
  <c r="U55" i="1"/>
  <c r="R55" i="1"/>
  <c r="AA822" i="1" l="1"/>
  <c r="X822" i="1"/>
  <c r="U822" i="1"/>
  <c r="R822" i="1"/>
  <c r="L55" i="1" l="1"/>
  <c r="AF55" i="1"/>
  <c r="AF822" i="1"/>
  <c r="L822" i="1" l="1"/>
  <c r="AA821" i="1"/>
  <c r="X821" i="1"/>
  <c r="U821" i="1"/>
  <c r="R821" i="1"/>
  <c r="AF821" i="1" l="1"/>
  <c r="AA820" i="1"/>
  <c r="X820" i="1"/>
  <c r="U820" i="1"/>
  <c r="R820" i="1"/>
  <c r="AI94" i="1"/>
  <c r="L821" i="1" l="1"/>
  <c r="AF820" i="1"/>
  <c r="AA819" i="1"/>
  <c r="U819" i="1"/>
  <c r="X819" i="1"/>
  <c r="R819" i="1"/>
  <c r="L820" i="1" l="1"/>
  <c r="L819" i="1"/>
  <c r="AA817" i="1"/>
  <c r="AA818" i="1"/>
  <c r="X817" i="1"/>
  <c r="X818" i="1"/>
  <c r="U817" i="1"/>
  <c r="U818" i="1"/>
  <c r="R817" i="1"/>
  <c r="R818" i="1"/>
  <c r="AF819" i="1" l="1"/>
  <c r="AF817" i="1"/>
  <c r="AF818" i="1"/>
  <c r="R741" i="1"/>
  <c r="R686" i="1"/>
  <c r="L817" i="1" l="1"/>
  <c r="L818" i="1"/>
  <c r="R259" i="1"/>
  <c r="X259" i="1" l="1"/>
  <c r="AA816" i="1" l="1"/>
  <c r="X816" i="1"/>
  <c r="U816" i="1"/>
  <c r="R816" i="1"/>
  <c r="L816" i="1" l="1"/>
  <c r="AA323" i="1"/>
  <c r="X6" i="1"/>
  <c r="X7" i="1"/>
  <c r="X8" i="1"/>
  <c r="X9" i="1"/>
  <c r="X10" i="1"/>
  <c r="X11" i="1"/>
  <c r="X12" i="1"/>
  <c r="X13" i="1"/>
  <c r="X14" i="1"/>
  <c r="X20" i="1"/>
  <c r="X21" i="1"/>
  <c r="X22" i="1"/>
  <c r="X23" i="1"/>
  <c r="X24" i="1"/>
  <c r="X27" i="1"/>
  <c r="X28" i="1"/>
  <c r="X29" i="1"/>
  <c r="X30" i="1"/>
  <c r="X31" i="1"/>
  <c r="X34" i="1"/>
  <c r="X35" i="1"/>
  <c r="X36" i="1"/>
  <c r="X37" i="1"/>
  <c r="X38" i="1"/>
  <c r="X39" i="1"/>
  <c r="X46" i="1"/>
  <c r="X47" i="1"/>
  <c r="X48" i="1"/>
  <c r="X49" i="1"/>
  <c r="X54" i="1"/>
  <c r="X56" i="1"/>
  <c r="X62" i="1"/>
  <c r="X63" i="1"/>
  <c r="X64" i="1"/>
  <c r="X65" i="1"/>
  <c r="X70" i="1"/>
  <c r="X71" i="1"/>
  <c r="X72" i="1"/>
  <c r="X73" i="1"/>
  <c r="X76" i="1"/>
  <c r="X77" i="1"/>
  <c r="X78" i="1"/>
  <c r="X79" i="1"/>
  <c r="X80" i="1"/>
  <c r="X81" i="1"/>
  <c r="X82" i="1"/>
  <c r="X83" i="1"/>
  <c r="X92" i="1"/>
  <c r="X93" i="1"/>
  <c r="X94" i="1"/>
  <c r="X95" i="1"/>
  <c r="X97" i="1"/>
  <c r="X98" i="1"/>
  <c r="X99" i="1"/>
  <c r="X100" i="1"/>
  <c r="X101" i="1"/>
  <c r="X102" i="1"/>
  <c r="X120" i="1"/>
  <c r="X121" i="1"/>
  <c r="X122" i="1"/>
  <c r="X123" i="1"/>
  <c r="X124" i="1"/>
  <c r="X125" i="1"/>
  <c r="X126" i="1"/>
  <c r="X130" i="1"/>
  <c r="X131" i="1"/>
  <c r="X132" i="1"/>
  <c r="X133" i="1"/>
  <c r="X134" i="1"/>
  <c r="X135" i="1"/>
  <c r="X136" i="1"/>
  <c r="X139" i="1"/>
  <c r="X140" i="1"/>
  <c r="X141" i="1"/>
  <c r="X146" i="1"/>
  <c r="X147" i="1"/>
  <c r="X148" i="1"/>
  <c r="X149" i="1"/>
  <c r="X150" i="1"/>
  <c r="X151" i="1"/>
  <c r="X152" i="1"/>
  <c r="X163" i="1"/>
  <c r="X164" i="1"/>
  <c r="X165" i="1"/>
  <c r="X166" i="1"/>
  <c r="X167" i="1"/>
  <c r="X178" i="1"/>
  <c r="X180" i="1"/>
  <c r="X181" i="1"/>
  <c r="X182" i="1"/>
  <c r="X188" i="1"/>
  <c r="X189" i="1"/>
  <c r="X190" i="1"/>
  <c r="X191" i="1"/>
  <c r="X192" i="1"/>
  <c r="X193" i="1"/>
  <c r="X194" i="1"/>
  <c r="X195" i="1"/>
  <c r="X196" i="1"/>
  <c r="X199" i="1"/>
  <c r="X200" i="1"/>
  <c r="X201" i="1"/>
  <c r="X202" i="1"/>
  <c r="X203" i="1"/>
  <c r="X204" i="1"/>
  <c r="X208" i="1"/>
  <c r="X209" i="1"/>
  <c r="X210" i="1"/>
  <c r="X211" i="1"/>
  <c r="X215" i="1"/>
  <c r="X216" i="1"/>
  <c r="X217" i="1"/>
  <c r="X218" i="1"/>
  <c r="X219" i="1"/>
  <c r="X220" i="1"/>
  <c r="X221" i="1"/>
  <c r="X224" i="1"/>
  <c r="X226" i="1"/>
  <c r="X227" i="1"/>
  <c r="X234" i="1"/>
  <c r="X235" i="1"/>
  <c r="X236" i="1"/>
  <c r="X237" i="1"/>
  <c r="X238" i="1"/>
  <c r="X239" i="1"/>
  <c r="X240" i="1"/>
  <c r="X241" i="1"/>
  <c r="X243" i="1"/>
  <c r="X257" i="1"/>
  <c r="X258" i="1"/>
  <c r="X260" i="1"/>
  <c r="X261" i="1"/>
  <c r="X262" i="1"/>
  <c r="X270" i="1"/>
  <c r="X275" i="1"/>
  <c r="X276" i="1"/>
  <c r="X277" i="1"/>
  <c r="X280" i="1"/>
  <c r="X281" i="1"/>
  <c r="X287" i="1"/>
  <c r="X288" i="1"/>
  <c r="X289" i="1"/>
  <c r="X293" i="1"/>
  <c r="X294" i="1"/>
  <c r="X295" i="1"/>
  <c r="X296" i="1"/>
  <c r="X297" i="1"/>
  <c r="X298" i="1"/>
  <c r="X304" i="1"/>
  <c r="X305" i="1"/>
  <c r="X306" i="1"/>
  <c r="X312" i="1"/>
  <c r="X313" i="1"/>
  <c r="X314" i="1"/>
  <c r="X315" i="1"/>
  <c r="X317" i="1"/>
  <c r="X318" i="1"/>
  <c r="X319" i="1"/>
  <c r="X320" i="1"/>
  <c r="X321" i="1"/>
  <c r="X322" i="1"/>
  <c r="X323" i="1"/>
  <c r="U6" i="1"/>
  <c r="U7" i="1"/>
  <c r="U8" i="1"/>
  <c r="U9" i="1"/>
  <c r="U10" i="1"/>
  <c r="U11" i="1"/>
  <c r="U12" i="1"/>
  <c r="U13" i="1"/>
  <c r="U14" i="1"/>
  <c r="U20" i="1"/>
  <c r="U21" i="1"/>
  <c r="U22" i="1"/>
  <c r="U23" i="1"/>
  <c r="U24" i="1"/>
  <c r="U27" i="1"/>
  <c r="U28" i="1"/>
  <c r="U29" i="1"/>
  <c r="U30" i="1"/>
  <c r="U31" i="1"/>
  <c r="U34" i="1"/>
  <c r="U35" i="1"/>
  <c r="U36" i="1"/>
  <c r="U37" i="1"/>
  <c r="U38" i="1"/>
  <c r="U39" i="1"/>
  <c r="U46" i="1"/>
  <c r="U47" i="1"/>
  <c r="U48" i="1"/>
  <c r="U49" i="1"/>
  <c r="U54" i="1"/>
  <c r="U56" i="1"/>
  <c r="U62" i="1"/>
  <c r="U63" i="1"/>
  <c r="U64" i="1"/>
  <c r="U65" i="1"/>
  <c r="U70" i="1"/>
  <c r="U71" i="1"/>
  <c r="U72" i="1"/>
  <c r="U73" i="1"/>
  <c r="U76" i="1"/>
  <c r="U77" i="1"/>
  <c r="U78" i="1"/>
  <c r="U79" i="1"/>
  <c r="U80" i="1"/>
  <c r="U81" i="1"/>
  <c r="U82" i="1"/>
  <c r="U92" i="1"/>
  <c r="U93" i="1"/>
  <c r="U94" i="1"/>
  <c r="U95" i="1"/>
  <c r="U97" i="1"/>
  <c r="U98" i="1"/>
  <c r="U99" i="1"/>
  <c r="U100" i="1"/>
  <c r="U101" i="1"/>
  <c r="U102" i="1"/>
  <c r="U120" i="1"/>
  <c r="U121" i="1"/>
  <c r="U122" i="1"/>
  <c r="U123" i="1"/>
  <c r="U124" i="1"/>
  <c r="U125" i="1"/>
  <c r="U126" i="1"/>
  <c r="U130" i="1"/>
  <c r="U131" i="1"/>
  <c r="U132" i="1"/>
  <c r="U133" i="1"/>
  <c r="U134" i="1"/>
  <c r="U135" i="1"/>
  <c r="U139" i="1"/>
  <c r="U140" i="1"/>
  <c r="U141" i="1"/>
  <c r="U146" i="1"/>
  <c r="U147" i="1"/>
  <c r="U148" i="1"/>
  <c r="U149" i="1"/>
  <c r="U150" i="1"/>
  <c r="U151" i="1"/>
  <c r="U152" i="1"/>
  <c r="U163" i="1"/>
  <c r="U164" i="1"/>
  <c r="U165" i="1"/>
  <c r="U166" i="1"/>
  <c r="U167" i="1"/>
  <c r="U178" i="1"/>
  <c r="U180" i="1"/>
  <c r="U181" i="1"/>
  <c r="U182" i="1"/>
  <c r="U188" i="1"/>
  <c r="U189" i="1"/>
  <c r="U190" i="1"/>
  <c r="U191" i="1"/>
  <c r="U192" i="1"/>
  <c r="U193" i="1"/>
  <c r="U194" i="1"/>
  <c r="U195" i="1"/>
  <c r="U196" i="1"/>
  <c r="U199" i="1"/>
  <c r="U200" i="1"/>
  <c r="U201" i="1"/>
  <c r="U202" i="1"/>
  <c r="U203" i="1"/>
  <c r="U204" i="1"/>
  <c r="U208" i="1"/>
  <c r="U209" i="1"/>
  <c r="U210" i="1"/>
  <c r="U211" i="1"/>
  <c r="U215" i="1"/>
  <c r="U216" i="1"/>
  <c r="U217" i="1"/>
  <c r="U218" i="1"/>
  <c r="U219" i="1"/>
  <c r="U220" i="1"/>
  <c r="U221" i="1"/>
  <c r="U224" i="1"/>
  <c r="U226" i="1"/>
  <c r="U227" i="1"/>
  <c r="U234" i="1"/>
  <c r="U235" i="1"/>
  <c r="U236" i="1"/>
  <c r="U237" i="1"/>
  <c r="U238" i="1"/>
  <c r="U239" i="1"/>
  <c r="U240" i="1"/>
  <c r="U241" i="1"/>
  <c r="U243" i="1"/>
  <c r="U257" i="1"/>
  <c r="U258" i="1"/>
  <c r="U260" i="1"/>
  <c r="U261" i="1"/>
  <c r="U262" i="1"/>
  <c r="U270" i="1"/>
  <c r="U275" i="1"/>
  <c r="U276" i="1"/>
  <c r="U277" i="1"/>
  <c r="U280" i="1"/>
  <c r="U281" i="1"/>
  <c r="U287" i="1"/>
  <c r="U288" i="1"/>
  <c r="U289" i="1"/>
  <c r="U293" i="1"/>
  <c r="U294" i="1"/>
  <c r="U295" i="1"/>
  <c r="U296" i="1"/>
  <c r="U297" i="1"/>
  <c r="U298" i="1"/>
  <c r="U304" i="1"/>
  <c r="U305" i="1"/>
  <c r="U306" i="1"/>
  <c r="U312" i="1"/>
  <c r="U313" i="1"/>
  <c r="U314" i="1"/>
  <c r="U315" i="1"/>
  <c r="U317" i="1"/>
  <c r="U318" i="1"/>
  <c r="U319" i="1"/>
  <c r="U320" i="1"/>
  <c r="U321" i="1"/>
  <c r="U322" i="1"/>
  <c r="U323" i="1"/>
  <c r="R323" i="1"/>
  <c r="AF816" i="1" l="1"/>
  <c r="AF323" i="1"/>
  <c r="AF136" i="1" l="1"/>
  <c r="L136" i="1"/>
  <c r="L323" i="1"/>
  <c r="R49" i="1"/>
  <c r="AF49" i="1" l="1"/>
  <c r="L49" i="1"/>
  <c r="AA815" i="1"/>
  <c r="X815" i="1"/>
  <c r="U815" i="1"/>
  <c r="R815" i="1"/>
  <c r="U814" i="1"/>
  <c r="AA814" i="1"/>
  <c r="X814" i="1"/>
  <c r="R814" i="1"/>
  <c r="L814" i="1" l="1"/>
  <c r="L815" i="1"/>
  <c r="AA813" i="1"/>
  <c r="X813" i="1"/>
  <c r="U813" i="1"/>
  <c r="R813" i="1"/>
  <c r="AF813" i="1" l="1"/>
  <c r="AF814" i="1"/>
  <c r="AF815" i="1"/>
  <c r="AA24" i="1"/>
  <c r="R24" i="1"/>
  <c r="L813" i="1" l="1"/>
  <c r="X812" i="1"/>
  <c r="AF24" i="1" l="1"/>
  <c r="L24" i="1"/>
  <c r="AA812" i="1"/>
  <c r="U812" i="1"/>
  <c r="R812" i="1"/>
  <c r="N812" i="1"/>
  <c r="O812" i="1"/>
  <c r="P812" i="1"/>
  <c r="AA83" i="1" l="1"/>
  <c r="R83" i="1"/>
  <c r="L812" i="1" l="1"/>
  <c r="AF812" i="1"/>
  <c r="AA811" i="1"/>
  <c r="X811" i="1"/>
  <c r="U811" i="1"/>
  <c r="R811" i="1"/>
  <c r="Q811" i="1"/>
  <c r="Q812" i="1" s="1"/>
  <c r="Q813" i="1" s="1"/>
  <c r="Q814" i="1" s="1"/>
  <c r="Q815" i="1" s="1"/>
  <c r="Q816" i="1" s="1"/>
  <c r="D812" i="1"/>
  <c r="L83" i="1" l="1"/>
  <c r="AF83" i="1"/>
  <c r="AF811" i="1"/>
  <c r="AA126" i="1"/>
  <c r="R126" i="1"/>
  <c r="L811" i="1" l="1"/>
  <c r="L126" i="1"/>
  <c r="AA315" i="1"/>
  <c r="R315" i="1"/>
  <c r="AF126" i="1" l="1"/>
  <c r="AF315" i="1" l="1"/>
  <c r="L315" i="1"/>
  <c r="AA227" i="1" l="1"/>
  <c r="R227" i="1"/>
  <c r="L227" i="1" l="1"/>
  <c r="AJ668" i="1"/>
  <c r="AI668" i="1"/>
  <c r="AF227" i="1" l="1"/>
  <c r="AJ666" i="1" l="1"/>
  <c r="AI666" i="1"/>
  <c r="L800" i="1" l="1"/>
  <c r="AA182" i="1" l="1"/>
  <c r="R182" i="1"/>
  <c r="M182" i="1"/>
  <c r="M183" i="1" s="1"/>
  <c r="N182" i="1"/>
  <c r="N183" i="1" s="1"/>
  <c r="O182" i="1"/>
  <c r="P182" i="1"/>
  <c r="P183" i="1" s="1"/>
  <c r="Q182" i="1"/>
  <c r="G182" i="1"/>
  <c r="L182" i="1" l="1"/>
  <c r="AA810" i="1"/>
  <c r="X810" i="1"/>
  <c r="U810" i="1"/>
  <c r="R810" i="1"/>
  <c r="AF182" i="1" l="1"/>
  <c r="AF810" i="1"/>
  <c r="AA809" i="1"/>
  <c r="X809" i="1"/>
  <c r="U809" i="1"/>
  <c r="R809" i="1"/>
  <c r="L810" i="1" l="1"/>
  <c r="AA807" i="1"/>
  <c r="AA808" i="1"/>
  <c r="X807" i="1"/>
  <c r="X808" i="1"/>
  <c r="U807" i="1"/>
  <c r="U808" i="1"/>
  <c r="R807" i="1"/>
  <c r="R808" i="1"/>
  <c r="L809" i="1" l="1"/>
  <c r="AF809" i="1"/>
  <c r="L808" i="1" l="1"/>
  <c r="AF808" i="1"/>
  <c r="L807" i="1"/>
  <c r="AF807" i="1"/>
  <c r="X806" i="1" l="1"/>
  <c r="U806" i="1"/>
  <c r="AA806" i="1"/>
  <c r="R806" i="1"/>
  <c r="N809" i="1"/>
  <c r="N810" i="1" s="1"/>
  <c r="O806" i="1"/>
  <c r="O807" i="1" s="1"/>
  <c r="O808" i="1" s="1"/>
  <c r="P806" i="1"/>
  <c r="P807" i="1" s="1"/>
  <c r="P808" i="1" s="1"/>
  <c r="Q806" i="1"/>
  <c r="Q807" i="1" s="1"/>
  <c r="Q808" i="1" s="1"/>
  <c r="Q809" i="1" s="1"/>
  <c r="AF806" i="1" l="1"/>
  <c r="L806" i="1" l="1"/>
  <c r="AA339" i="1"/>
  <c r="X339" i="1"/>
  <c r="U339" i="1"/>
  <c r="R339" i="1"/>
  <c r="AA243" i="1"/>
  <c r="R243" i="1"/>
  <c r="R804" i="1"/>
  <c r="U804" i="1"/>
  <c r="X804" i="1"/>
  <c r="AA804" i="1"/>
  <c r="R805" i="1"/>
  <c r="U805" i="1"/>
  <c r="X805" i="1"/>
  <c r="AA805" i="1"/>
  <c r="AF805" i="1" l="1"/>
  <c r="L339" i="1"/>
  <c r="L804" i="1"/>
  <c r="AF243" i="1" l="1"/>
  <c r="L243" i="1"/>
  <c r="L805" i="1"/>
  <c r="AF804" i="1"/>
  <c r="AF339" i="1"/>
  <c r="AA204" i="1"/>
  <c r="R204" i="1"/>
  <c r="AF204" i="1" l="1"/>
  <c r="L204" i="1"/>
  <c r="AA803" i="1"/>
  <c r="AA802" i="1" l="1"/>
  <c r="X803" i="1"/>
  <c r="U803" i="1"/>
  <c r="R803" i="1"/>
  <c r="AF803" i="1" l="1"/>
  <c r="X802" i="1"/>
  <c r="U802" i="1"/>
  <c r="R802" i="1"/>
  <c r="L803" i="1" l="1"/>
  <c r="L802" i="1"/>
  <c r="X801" i="1"/>
  <c r="U801" i="1"/>
  <c r="R801" i="1"/>
  <c r="AF802" i="1" l="1"/>
  <c r="AA801" i="1"/>
  <c r="AF801" i="1" s="1"/>
  <c r="L801" i="1" l="1"/>
  <c r="AA270" i="1"/>
  <c r="R270" i="1"/>
  <c r="AI645" i="1" l="1"/>
  <c r="AJ655" i="1"/>
  <c r="AI655" i="1"/>
  <c r="L270" i="1" l="1"/>
  <c r="AF270" i="1"/>
  <c r="AA799" i="1"/>
  <c r="X799" i="1"/>
  <c r="U799" i="1"/>
  <c r="R799" i="1"/>
  <c r="AF799" i="1" l="1"/>
  <c r="L799" i="1" l="1"/>
  <c r="R39" i="1"/>
  <c r="AA798" i="1" l="1"/>
  <c r="U798" i="1"/>
  <c r="X798" i="1"/>
  <c r="R798" i="1"/>
  <c r="AF39" i="1" l="1"/>
  <c r="L39" i="1"/>
  <c r="AF798" i="1"/>
  <c r="L798" i="1" l="1"/>
  <c r="AA797" i="1"/>
  <c r="X797" i="1"/>
  <c r="U797" i="1"/>
  <c r="R797" i="1" l="1"/>
  <c r="AA796" i="1" l="1"/>
  <c r="X796" i="1"/>
  <c r="U796" i="1"/>
  <c r="R796" i="1"/>
  <c r="AF797" i="1" l="1"/>
  <c r="L797" i="1"/>
  <c r="AF796" i="1"/>
  <c r="AA298" i="1"/>
  <c r="R298" i="1"/>
  <c r="L796" i="1" l="1"/>
  <c r="L298" i="1"/>
  <c r="AF298" i="1" l="1"/>
  <c r="L73" i="1" l="1"/>
  <c r="AF73" i="1"/>
  <c r="AA795" i="1"/>
  <c r="X795" i="1"/>
  <c r="U795" i="1"/>
  <c r="R795" i="1"/>
  <c r="R794" i="1"/>
  <c r="AA794" i="1"/>
  <c r="U794" i="1"/>
  <c r="AA793" i="1"/>
  <c r="X793" i="1"/>
  <c r="U793" i="1"/>
  <c r="R793" i="1"/>
  <c r="L795" i="1" l="1"/>
  <c r="L793" i="1"/>
  <c r="AA355" i="1"/>
  <c r="X355" i="1"/>
  <c r="U355" i="1"/>
  <c r="R355" i="1"/>
  <c r="AF793" i="1" l="1"/>
  <c r="AF795" i="1"/>
  <c r="L355" i="1"/>
  <c r="AF355" i="1" l="1"/>
  <c r="AA334" i="1"/>
  <c r="X334" i="1"/>
  <c r="U334" i="1"/>
  <c r="R334" i="1"/>
  <c r="AA333" i="1"/>
  <c r="X333" i="1"/>
  <c r="U333" i="1"/>
  <c r="R333" i="1"/>
  <c r="AA38" i="1"/>
  <c r="R38" i="1"/>
  <c r="AA332" i="1"/>
  <c r="X332" i="1"/>
  <c r="U332" i="1"/>
  <c r="R332" i="1"/>
  <c r="AA167" i="1"/>
  <c r="R167" i="1"/>
  <c r="AF334" i="1" l="1"/>
  <c r="L333" i="1"/>
  <c r="AF332" i="1"/>
  <c r="AA792" i="1"/>
  <c r="X792" i="1"/>
  <c r="U792" i="1"/>
  <c r="R792" i="1"/>
  <c r="AF167" i="1" l="1"/>
  <c r="L167" i="1"/>
  <c r="AF38" i="1"/>
  <c r="L38" i="1"/>
  <c r="L334" i="1"/>
  <c r="L332" i="1"/>
  <c r="AF333" i="1"/>
  <c r="AF792" i="1"/>
  <c r="X794" i="1"/>
  <c r="L794" i="1" s="1"/>
  <c r="L792" i="1" l="1"/>
  <c r="AF794" i="1"/>
  <c r="R673" i="1"/>
  <c r="AA791" i="1" l="1"/>
  <c r="X791" i="1"/>
  <c r="U791" i="1"/>
  <c r="R791" i="1"/>
  <c r="AA789" i="1"/>
  <c r="X789" i="1"/>
  <c r="U789" i="1"/>
  <c r="R789" i="1"/>
  <c r="AA350" i="1"/>
  <c r="X350" i="1"/>
  <c r="U350" i="1"/>
  <c r="R350" i="1"/>
  <c r="AF350" i="1" l="1"/>
  <c r="L789" i="1"/>
  <c r="AF791" i="1" l="1"/>
  <c r="L791" i="1"/>
  <c r="L350" i="1"/>
  <c r="AF789" i="1"/>
  <c r="AA277" i="1"/>
  <c r="R277" i="1"/>
  <c r="R47" i="1" l="1"/>
  <c r="R48" i="1"/>
  <c r="AF277" i="1" l="1"/>
  <c r="L277" i="1"/>
  <c r="AF48" i="1" l="1"/>
  <c r="L48" i="1"/>
  <c r="AA790" i="1"/>
  <c r="X790" i="1" l="1"/>
  <c r="U790" i="1"/>
  <c r="R790" i="1"/>
  <c r="AF790" i="1" l="1"/>
  <c r="L790" i="1" l="1"/>
  <c r="AA125" i="1"/>
  <c r="R125" i="1"/>
  <c r="L130" i="1" l="1"/>
  <c r="AA297" i="1"/>
  <c r="R297" i="1"/>
  <c r="AF125" i="1" l="1"/>
  <c r="L125" i="1"/>
  <c r="AF297" i="1" l="1"/>
  <c r="L297" i="1"/>
  <c r="R56" i="1"/>
  <c r="M56" i="1"/>
  <c r="N56" i="1" l="1"/>
  <c r="L56" i="1" l="1"/>
  <c r="AF56" i="1"/>
  <c r="AA322" i="1"/>
  <c r="R322" i="1"/>
  <c r="AA141" i="1" l="1"/>
  <c r="R141" i="1"/>
  <c r="AF322" i="1" l="1"/>
  <c r="L322" i="1"/>
  <c r="L141" i="1"/>
  <c r="AF141" i="1" l="1"/>
  <c r="AA102" i="1"/>
  <c r="R102" i="1"/>
  <c r="L102" i="1" l="1"/>
  <c r="AF102" i="1" l="1"/>
  <c r="AF258" i="1"/>
  <c r="AF130" i="1"/>
  <c r="R100" i="1" l="1"/>
  <c r="AF100" i="1" l="1"/>
  <c r="L100" i="1"/>
  <c r="AA226" i="1"/>
  <c r="R226" i="1"/>
  <c r="L226" i="1" l="1"/>
  <c r="AA262" i="1"/>
  <c r="R262" i="1"/>
  <c r="AF226" i="1" l="1"/>
  <c r="X788" i="1"/>
  <c r="U788" i="1"/>
  <c r="R788" i="1"/>
  <c r="AF788" i="1" l="1"/>
  <c r="AA37" i="1"/>
  <c r="R37" i="1"/>
  <c r="AA241" i="1"/>
  <c r="R241" i="1"/>
  <c r="L788" i="1" l="1"/>
  <c r="L241" i="1"/>
  <c r="AA321" i="1"/>
  <c r="R321" i="1"/>
  <c r="AF37" i="1" l="1"/>
  <c r="L37" i="1"/>
  <c r="AF241" i="1"/>
  <c r="AA151" i="1"/>
  <c r="R151" i="1"/>
  <c r="AF321" i="1" l="1"/>
  <c r="L321" i="1"/>
  <c r="L151" i="1"/>
  <c r="AF151" i="1" l="1"/>
  <c r="AA98" i="1" l="1"/>
  <c r="AA99" i="1"/>
  <c r="AA101" i="1"/>
  <c r="R97" i="1"/>
  <c r="R98" i="1"/>
  <c r="R99" i="1"/>
  <c r="R101" i="1"/>
  <c r="L98" i="1" l="1"/>
  <c r="AA152" i="1"/>
  <c r="R152" i="1"/>
  <c r="P152" i="1"/>
  <c r="Q152" i="1"/>
  <c r="AF99" i="1" l="1"/>
  <c r="L99" i="1"/>
  <c r="AF101" i="1"/>
  <c r="L101" i="1"/>
  <c r="AF98" i="1"/>
  <c r="AA240" i="1"/>
  <c r="R240" i="1"/>
  <c r="AF152" i="1" l="1"/>
  <c r="L152" i="1"/>
  <c r="L240" i="1"/>
  <c r="AA14" i="1"/>
  <c r="R14" i="1"/>
  <c r="L14" i="1" l="1"/>
  <c r="AF240" i="1"/>
  <c r="X367" i="1"/>
  <c r="AA367" i="1"/>
  <c r="U367" i="1"/>
  <c r="AF14" i="1" l="1"/>
  <c r="L367" i="1"/>
  <c r="R65" i="1"/>
  <c r="L262" i="1" l="1"/>
  <c r="AF367" i="1"/>
  <c r="AA366" i="1"/>
  <c r="X366" i="1"/>
  <c r="U366" i="1"/>
  <c r="R239" i="1"/>
  <c r="AA239" i="1"/>
  <c r="AF65" i="1" l="1"/>
  <c r="L65" i="1"/>
  <c r="AF262" i="1"/>
  <c r="L366" i="1"/>
  <c r="AA31" i="1"/>
  <c r="R31" i="1"/>
  <c r="AF239" i="1" l="1"/>
  <c r="L239" i="1"/>
  <c r="AF366" i="1"/>
  <c r="AF31" i="1" l="1"/>
  <c r="L31" i="1"/>
  <c r="AA196" i="1"/>
  <c r="R196" i="1"/>
  <c r="L196" i="1" l="1"/>
  <c r="R760" i="1"/>
  <c r="AA261" i="1"/>
  <c r="R261" i="1"/>
  <c r="AF196" i="1" l="1"/>
  <c r="R209" i="1"/>
  <c r="AA135" i="1" l="1"/>
  <c r="R135" i="1"/>
  <c r="M135" i="1" l="1"/>
  <c r="E135" i="1"/>
  <c r="AF135" i="1" l="1"/>
  <c r="L135" i="1"/>
  <c r="R195" i="1"/>
  <c r="AF195" i="1" l="1"/>
  <c r="L195" i="1"/>
  <c r="AA140" i="1" l="1"/>
  <c r="R140" i="1"/>
  <c r="L140" i="1" l="1"/>
  <c r="X787" i="1"/>
  <c r="AA787" i="1"/>
  <c r="U787" i="1"/>
  <c r="R787" i="1"/>
  <c r="AF140" i="1" l="1"/>
  <c r="L787" i="1"/>
  <c r="AF787" i="1" l="1"/>
  <c r="AA134" i="1"/>
  <c r="R134" i="1"/>
  <c r="AA456" i="1"/>
  <c r="X456" i="1"/>
  <c r="U456" i="1"/>
  <c r="R456" i="1"/>
  <c r="AA455" i="1"/>
  <c r="X455" i="1"/>
  <c r="U455" i="1"/>
  <c r="R455" i="1"/>
  <c r="L456" i="1" l="1"/>
  <c r="AF455" i="1"/>
  <c r="L134" i="1" l="1"/>
  <c r="L455" i="1"/>
  <c r="AF134" i="1"/>
  <c r="AF456" i="1"/>
  <c r="U786" i="1"/>
  <c r="AA786" i="1" l="1"/>
  <c r="X786" i="1"/>
  <c r="R786" i="1"/>
  <c r="AF786" i="1" l="1"/>
  <c r="R743" i="1"/>
  <c r="L786" i="1" l="1"/>
  <c r="AA82" i="1"/>
  <c r="R82" i="1"/>
  <c r="L82" i="1" l="1"/>
  <c r="AF82" i="1" l="1"/>
  <c r="L785" i="1" l="1"/>
  <c r="L225" i="1"/>
  <c r="AA23" i="1" l="1"/>
  <c r="R23" i="1"/>
  <c r="AA690" i="1" l="1"/>
  <c r="X690" i="1"/>
  <c r="R690" i="1"/>
  <c r="U690" i="1"/>
  <c r="AF23" i="1" l="1"/>
  <c r="L23" i="1"/>
  <c r="AA237" i="1" l="1"/>
  <c r="AA238" i="1"/>
  <c r="R238" i="1"/>
  <c r="X331" i="1" l="1"/>
  <c r="AF238" i="1" l="1"/>
  <c r="L238" i="1"/>
  <c r="X377" i="1"/>
  <c r="U377" i="1"/>
  <c r="R377" i="1"/>
  <c r="AF377" i="1" l="1"/>
  <c r="R218" i="1"/>
  <c r="AA781" i="1"/>
  <c r="U781" i="1"/>
  <c r="R781" i="1"/>
  <c r="L377" i="1" l="1"/>
  <c r="AF781" i="1"/>
  <c r="X348" i="1"/>
  <c r="L781" i="1" l="1"/>
  <c r="AA457" i="1"/>
  <c r="X457" i="1"/>
  <c r="U457" i="1"/>
  <c r="R457" i="1"/>
  <c r="AB731" i="1" l="1"/>
  <c r="AA13" i="1"/>
  <c r="R13" i="1"/>
  <c r="AF457" i="1" l="1"/>
  <c r="L457" i="1"/>
  <c r="AA418" i="1"/>
  <c r="X418" i="1"/>
  <c r="U418" i="1"/>
  <c r="AF13" i="1" l="1"/>
  <c r="L13" i="1"/>
  <c r="AF418" i="1"/>
  <c r="L418" i="1" l="1"/>
  <c r="AA12" i="1"/>
  <c r="R12" i="1"/>
  <c r="AA349" i="1" l="1"/>
  <c r="X349" i="1"/>
  <c r="X338" i="1"/>
  <c r="U348" i="1"/>
  <c r="U349" i="1"/>
  <c r="R349" i="1"/>
  <c r="R346" i="1"/>
  <c r="AF12" i="1" l="1"/>
  <c r="L12" i="1"/>
  <c r="AA348" i="1"/>
  <c r="R348" i="1"/>
  <c r="R347" i="1"/>
  <c r="L349" i="1"/>
  <c r="AF349" i="1" l="1"/>
  <c r="AF348" i="1"/>
  <c r="L348" i="1" l="1"/>
  <c r="AA451" i="1"/>
  <c r="X451" i="1"/>
  <c r="U451" i="1"/>
  <c r="R451" i="1"/>
  <c r="AA705" i="1"/>
  <c r="X705" i="1"/>
  <c r="U705" i="1"/>
  <c r="R705" i="1"/>
  <c r="AF451" i="1" l="1"/>
  <c r="AA194" i="1"/>
  <c r="AF705" i="1" l="1"/>
  <c r="L451" i="1"/>
  <c r="L705" i="1"/>
  <c r="AA784" i="1"/>
  <c r="X784" i="1"/>
  <c r="U784" i="1"/>
  <c r="R784" i="1"/>
  <c r="L784" i="1" l="1"/>
  <c r="AF784" i="1" l="1"/>
  <c r="AI647" i="1" l="1"/>
  <c r="AA761" i="1" l="1"/>
  <c r="AA735" i="1"/>
  <c r="AA731" i="1"/>
  <c r="X761" i="1"/>
  <c r="X735" i="1"/>
  <c r="X731" i="1"/>
  <c r="U735" i="1"/>
  <c r="U731" i="1"/>
  <c r="U761" i="1"/>
  <c r="R735" i="1"/>
  <c r="R731" i="1"/>
  <c r="R761" i="1"/>
  <c r="AF731" i="1" l="1"/>
  <c r="L761" i="1"/>
  <c r="L735" i="1" l="1"/>
  <c r="L731" i="1"/>
  <c r="AF761" i="1"/>
  <c r="AF735" i="1"/>
  <c r="AA704" i="1" l="1"/>
  <c r="X704" i="1"/>
  <c r="U704" i="1"/>
  <c r="R704" i="1"/>
  <c r="U783" i="1" l="1"/>
  <c r="AA783" i="1"/>
  <c r="X783" i="1"/>
  <c r="R783" i="1"/>
  <c r="L704" i="1" l="1"/>
  <c r="AF704" i="1"/>
  <c r="AF783" i="1"/>
  <c r="L783" i="1" l="1"/>
  <c r="AA11" i="1"/>
  <c r="R11" i="1"/>
  <c r="AF11" i="1" l="1"/>
  <c r="L11" i="1"/>
  <c r="R624" i="1"/>
  <c r="R203" i="1" l="1"/>
  <c r="AA30" i="1" l="1"/>
  <c r="R30" i="1"/>
  <c r="AF30" i="1" l="1"/>
  <c r="L30" i="1"/>
  <c r="AA123" i="1" l="1"/>
  <c r="AA10" i="1" l="1"/>
  <c r="R10" i="1"/>
  <c r="AA338" i="1" l="1"/>
  <c r="U338" i="1"/>
  <c r="R338" i="1"/>
  <c r="AF10" i="1" l="1"/>
  <c r="L10" i="1"/>
  <c r="L338" i="1"/>
  <c r="AF338" i="1" l="1"/>
  <c r="AA330" i="1"/>
  <c r="R211" i="1"/>
  <c r="AA777" i="1" l="1"/>
  <c r="AA778" i="1"/>
  <c r="X777" i="1"/>
  <c r="X778" i="1"/>
  <c r="U777" i="1"/>
  <c r="U778" i="1"/>
  <c r="R777" i="1"/>
  <c r="R778" i="1"/>
  <c r="L777" i="1" l="1"/>
  <c r="AF778" i="1"/>
  <c r="L779" i="1" l="1"/>
  <c r="L778" i="1"/>
  <c r="AF777" i="1"/>
  <c r="X330" i="1"/>
  <c r="U330" i="1"/>
  <c r="R330" i="1"/>
  <c r="L330" i="1" l="1"/>
  <c r="U776" i="1"/>
  <c r="AF330" i="1" l="1"/>
  <c r="R237" i="1"/>
  <c r="L237" i="1" l="1"/>
  <c r="AF237" i="1" l="1"/>
  <c r="AA296" i="1" l="1"/>
  <c r="R296" i="1"/>
  <c r="AA289" i="1"/>
  <c r="R289" i="1"/>
  <c r="AA220" i="1"/>
  <c r="AA221" i="1"/>
  <c r="R220" i="1"/>
  <c r="R221" i="1"/>
  <c r="AA211" i="1"/>
  <c r="AA203" i="1"/>
  <c r="AA202" i="1"/>
  <c r="AA201" i="1"/>
  <c r="AA200" i="1"/>
  <c r="R202" i="1"/>
  <c r="R194" i="1"/>
  <c r="AA166" i="1"/>
  <c r="R166" i="1"/>
  <c r="AA133" i="1"/>
  <c r="R133" i="1"/>
  <c r="AA81" i="1"/>
  <c r="R81" i="1"/>
  <c r="AA36" i="1"/>
  <c r="R36" i="1"/>
  <c r="L289" i="1" l="1"/>
  <c r="L211" i="1"/>
  <c r="L296" i="1"/>
  <c r="L202" i="1"/>
  <c r="L203" i="1"/>
  <c r="AF220" i="1" l="1"/>
  <c r="L220" i="1"/>
  <c r="AF133" i="1"/>
  <c r="L133" i="1"/>
  <c r="AF221" i="1"/>
  <c r="L221" i="1"/>
  <c r="AF166" i="1"/>
  <c r="L166" i="1"/>
  <c r="AF194" i="1"/>
  <c r="L194" i="1"/>
  <c r="AF81" i="1"/>
  <c r="L81" i="1"/>
  <c r="AF36" i="1"/>
  <c r="L36" i="1"/>
  <c r="AF202" i="1"/>
  <c r="AF296" i="1"/>
  <c r="AF211" i="1"/>
  <c r="AF289" i="1"/>
  <c r="AF203" i="1"/>
  <c r="AA80" i="1" l="1"/>
  <c r="R80" i="1"/>
  <c r="L80" i="1" l="1"/>
  <c r="AF80" i="1" l="1"/>
  <c r="AA165" i="1"/>
  <c r="R165" i="1"/>
  <c r="L165" i="1" l="1"/>
  <c r="AF165" i="1" l="1"/>
  <c r="R193" i="1"/>
  <c r="L193" i="1" l="1"/>
  <c r="AF193" i="1"/>
  <c r="AA723" i="1" l="1"/>
  <c r="AA430" i="1" l="1"/>
  <c r="AA431" i="1"/>
  <c r="AA432" i="1"/>
  <c r="X429" i="1"/>
  <c r="X430" i="1"/>
  <c r="X431" i="1"/>
  <c r="X432" i="1"/>
  <c r="U429" i="1"/>
  <c r="U430" i="1"/>
  <c r="U431" i="1"/>
  <c r="U432" i="1"/>
  <c r="R430" i="1"/>
  <c r="R431" i="1"/>
  <c r="R432" i="1"/>
  <c r="R429" i="1"/>
  <c r="AF432" i="1" l="1"/>
  <c r="L430" i="1"/>
  <c r="L431" i="1" l="1"/>
  <c r="L432" i="1"/>
  <c r="AF430" i="1"/>
  <c r="AF431" i="1"/>
  <c r="AA219" i="1"/>
  <c r="R219" i="1"/>
  <c r="AA218" i="1"/>
  <c r="L218" i="1" s="1"/>
  <c r="AF218" i="1" l="1"/>
  <c r="AF219" i="1" l="1"/>
  <c r="L219" i="1"/>
  <c r="R201" i="1"/>
  <c r="L201" i="1" l="1"/>
  <c r="R123" i="1"/>
  <c r="L123" i="1" l="1"/>
  <c r="AF201" i="1"/>
  <c r="AF123" i="1" l="1"/>
  <c r="AA440" i="1"/>
  <c r="X440" i="1"/>
  <c r="U440" i="1"/>
  <c r="R440" i="1"/>
  <c r="L440" i="1" l="1"/>
  <c r="AF440" i="1" l="1"/>
  <c r="X329" i="1"/>
  <c r="R329" i="1"/>
  <c r="R122" i="1" l="1"/>
  <c r="L122" i="1" l="1"/>
  <c r="AA773" i="1"/>
  <c r="X773" i="1"/>
  <c r="R304" i="1" l="1"/>
  <c r="AA306" i="1" l="1"/>
  <c r="AA304" i="1"/>
  <c r="R306" i="1"/>
  <c r="L306" i="1" l="1"/>
  <c r="L304" i="1"/>
  <c r="AF304" i="1"/>
  <c r="AF306" i="1"/>
  <c r="AF122" i="1"/>
  <c r="R132" i="1"/>
  <c r="R131" i="1"/>
  <c r="AA770" i="1"/>
  <c r="X770" i="1"/>
  <c r="R770" i="1"/>
  <c r="AA209" i="1" l="1"/>
  <c r="L209" i="1" s="1"/>
  <c r="AA375" i="1"/>
  <c r="X375" i="1"/>
  <c r="U375" i="1"/>
  <c r="R375" i="1"/>
  <c r="AA374" i="1"/>
  <c r="X374" i="1"/>
  <c r="U374" i="1"/>
  <c r="R374" i="1"/>
  <c r="AF375" i="1" l="1"/>
  <c r="AF209" i="1"/>
  <c r="L374" i="1" l="1"/>
  <c r="L375" i="1"/>
  <c r="AF374" i="1"/>
  <c r="X767" i="1" l="1"/>
  <c r="AA780" i="1"/>
  <c r="AA649" i="1"/>
  <c r="AA776" i="1"/>
  <c r="AA775" i="1"/>
  <c r="AA774" i="1"/>
  <c r="AA772" i="1"/>
  <c r="AA771" i="1"/>
  <c r="AA769" i="1"/>
  <c r="X780" i="1"/>
  <c r="X649" i="1"/>
  <c r="X776" i="1"/>
  <c r="X775" i="1"/>
  <c r="X774" i="1"/>
  <c r="X772" i="1"/>
  <c r="X771" i="1"/>
  <c r="X769" i="1"/>
  <c r="U780" i="1"/>
  <c r="U649" i="1"/>
  <c r="U775" i="1"/>
  <c r="U774" i="1"/>
  <c r="U773" i="1"/>
  <c r="U771" i="1"/>
  <c r="U770" i="1"/>
  <c r="U769" i="1"/>
  <c r="R780" i="1"/>
  <c r="R649" i="1"/>
  <c r="R776" i="1"/>
  <c r="R775" i="1"/>
  <c r="R774" i="1"/>
  <c r="R773" i="1"/>
  <c r="R772" i="1"/>
  <c r="R771" i="1"/>
  <c r="R769" i="1"/>
  <c r="AA768" i="1"/>
  <c r="X768" i="1"/>
  <c r="U768" i="1"/>
  <c r="R768" i="1"/>
  <c r="AA767" i="1"/>
  <c r="U767" i="1"/>
  <c r="R767" i="1"/>
  <c r="U439" i="1"/>
  <c r="AA97" i="1"/>
  <c r="R96" i="1"/>
  <c r="L767" i="1" l="1"/>
  <c r="L768" i="1"/>
  <c r="AF775" i="1"/>
  <c r="L97" i="1"/>
  <c r="L770" i="1"/>
  <c r="AF773" i="1"/>
  <c r="AF649" i="1"/>
  <c r="AF769" i="1"/>
  <c r="AF772" i="1"/>
  <c r="L776" i="1"/>
  <c r="AF780" i="1" l="1"/>
  <c r="L96" i="1"/>
  <c r="AF774" i="1"/>
  <c r="AF771" i="1"/>
  <c r="L774" i="1"/>
  <c r="L772" i="1"/>
  <c r="L773" i="1"/>
  <c r="L649" i="1"/>
  <c r="L771" i="1"/>
  <c r="L769" i="1"/>
  <c r="L775" i="1"/>
  <c r="L780" i="1"/>
  <c r="AF97" i="1"/>
  <c r="AF776" i="1"/>
  <c r="AF96" i="1"/>
  <c r="AF770" i="1"/>
  <c r="AF767" i="1"/>
  <c r="AF768" i="1"/>
  <c r="AA764" i="1"/>
  <c r="X764" i="1"/>
  <c r="U764" i="1"/>
  <c r="R764" i="1"/>
  <c r="U765" i="1" l="1"/>
  <c r="R759" i="1" l="1"/>
  <c r="R756" i="1" l="1"/>
  <c r="AA782" i="1" l="1"/>
  <c r="X782" i="1"/>
  <c r="U782" i="1"/>
  <c r="R782" i="1"/>
  <c r="L782" i="1" l="1"/>
  <c r="AF782" i="1" l="1"/>
  <c r="R305" i="1"/>
  <c r="AA746" i="1" l="1"/>
  <c r="X746" i="1"/>
  <c r="U746" i="1"/>
  <c r="R746" i="1"/>
  <c r="AF746" i="1" l="1"/>
  <c r="X337" i="1"/>
  <c r="L746" i="1" l="1"/>
  <c r="AA191" i="1"/>
  <c r="R191" i="1"/>
  <c r="L191" i="1" l="1"/>
  <c r="AF191" i="1" l="1"/>
  <c r="X354" i="1"/>
  <c r="AA439" i="1"/>
  <c r="X439" i="1"/>
  <c r="R439" i="1"/>
  <c r="R34" i="1" l="1"/>
  <c r="R260" i="1" l="1"/>
  <c r="AF34" i="1" l="1"/>
  <c r="L34" i="1"/>
  <c r="L260" i="1"/>
  <c r="AF260" i="1" l="1"/>
  <c r="AA236" i="1" l="1"/>
  <c r="S236" i="1"/>
  <c r="R121" i="1" l="1"/>
  <c r="AA190" i="1"/>
  <c r="R190" i="1"/>
  <c r="L190" i="1" l="1"/>
  <c r="R275" i="1"/>
  <c r="AF190" i="1" l="1"/>
  <c r="AA739" i="1" l="1"/>
  <c r="AA740" i="1"/>
  <c r="AA741" i="1"/>
  <c r="AA742" i="1"/>
  <c r="AA743" i="1"/>
  <c r="AA744" i="1"/>
  <c r="AA745" i="1"/>
  <c r="AA747" i="1"/>
  <c r="AA748" i="1"/>
  <c r="AA749" i="1"/>
  <c r="AA750" i="1"/>
  <c r="AA305" i="1"/>
  <c r="AA751" i="1"/>
  <c r="AA752" i="1"/>
  <c r="AA753" i="1"/>
  <c r="AA754" i="1"/>
  <c r="AA755" i="1"/>
  <c r="AA756" i="1"/>
  <c r="AA758" i="1"/>
  <c r="AA759" i="1"/>
  <c r="AA760" i="1"/>
  <c r="AA639" i="1"/>
  <c r="AA762" i="1"/>
  <c r="AA763" i="1"/>
  <c r="AA765" i="1"/>
  <c r="X739" i="1"/>
  <c r="X740" i="1"/>
  <c r="X741" i="1"/>
  <c r="X742" i="1"/>
  <c r="X743" i="1"/>
  <c r="X744" i="1"/>
  <c r="X745" i="1"/>
  <c r="X747" i="1"/>
  <c r="X748" i="1"/>
  <c r="X749" i="1"/>
  <c r="X750" i="1"/>
  <c r="X751" i="1"/>
  <c r="X752" i="1"/>
  <c r="X753" i="1"/>
  <c r="X754" i="1"/>
  <c r="X755" i="1"/>
  <c r="X756" i="1"/>
  <c r="X757" i="1"/>
  <c r="X758" i="1"/>
  <c r="X759" i="1"/>
  <c r="X760" i="1"/>
  <c r="X639" i="1"/>
  <c r="X762" i="1"/>
  <c r="X763" i="1"/>
  <c r="X765" i="1"/>
  <c r="U739" i="1"/>
  <c r="U740" i="1"/>
  <c r="U741" i="1"/>
  <c r="U742" i="1"/>
  <c r="U743" i="1"/>
  <c r="U744" i="1"/>
  <c r="U745" i="1"/>
  <c r="U747" i="1"/>
  <c r="U748" i="1"/>
  <c r="U749" i="1"/>
  <c r="U750" i="1"/>
  <c r="U751" i="1"/>
  <c r="U752" i="1"/>
  <c r="U753" i="1"/>
  <c r="U754" i="1"/>
  <c r="U755" i="1"/>
  <c r="U756" i="1"/>
  <c r="U757" i="1"/>
  <c r="U758" i="1"/>
  <c r="U759" i="1"/>
  <c r="U760" i="1"/>
  <c r="U639" i="1"/>
  <c r="U762" i="1"/>
  <c r="U763" i="1"/>
  <c r="R739" i="1"/>
  <c r="R740" i="1"/>
  <c r="R742" i="1"/>
  <c r="R744" i="1"/>
  <c r="R745" i="1"/>
  <c r="R747" i="1"/>
  <c r="R748" i="1"/>
  <c r="R749" i="1"/>
  <c r="R750" i="1"/>
  <c r="R751" i="1"/>
  <c r="R752" i="1"/>
  <c r="R753" i="1"/>
  <c r="R754" i="1"/>
  <c r="R755" i="1"/>
  <c r="R757" i="1"/>
  <c r="R758" i="1"/>
  <c r="R639" i="1"/>
  <c r="R762" i="1"/>
  <c r="R763" i="1"/>
  <c r="R765" i="1"/>
  <c r="AF747" i="1" l="1"/>
  <c r="L639" i="1"/>
  <c r="L757" i="1"/>
  <c r="AF753" i="1"/>
  <c r="AF750" i="1"/>
  <c r="L743" i="1"/>
  <c r="AF739" i="1"/>
  <c r="AF762" i="1"/>
  <c r="AF758" i="1"/>
  <c r="AF754" i="1"/>
  <c r="AF740" i="1"/>
  <c r="AF763" i="1"/>
  <c r="L759" i="1"/>
  <c r="AF755" i="1"/>
  <c r="AF751" i="1"/>
  <c r="AF748" i="1"/>
  <c r="AF744" i="1"/>
  <c r="AF741" i="1"/>
  <c r="L764" i="1"/>
  <c r="L760" i="1"/>
  <c r="L756" i="1"/>
  <c r="AF752" i="1"/>
  <c r="AF749" i="1"/>
  <c r="AF745" i="1"/>
  <c r="AF742" i="1"/>
  <c r="AF765" i="1" l="1"/>
  <c r="L305" i="1"/>
  <c r="L755" i="1"/>
  <c r="L751" i="1"/>
  <c r="L753" i="1"/>
  <c r="L763" i="1"/>
  <c r="L752" i="1"/>
  <c r="L741" i="1"/>
  <c r="L749" i="1"/>
  <c r="L742" i="1"/>
  <c r="L739" i="1"/>
  <c r="L740" i="1"/>
  <c r="L744" i="1"/>
  <c r="L748" i="1"/>
  <c r="L765" i="1"/>
  <c r="L758" i="1"/>
  <c r="L747" i="1"/>
  <c r="L754" i="1"/>
  <c r="L750" i="1"/>
  <c r="L745" i="1"/>
  <c r="L762" i="1"/>
  <c r="AF759" i="1"/>
  <c r="AF756" i="1"/>
  <c r="AF760" i="1"/>
  <c r="AF305" i="1"/>
  <c r="AF639" i="1"/>
  <c r="AF743" i="1"/>
  <c r="AF757" i="1"/>
  <c r="AF764" i="1"/>
  <c r="AA641" i="1" l="1"/>
  <c r="X641" i="1"/>
  <c r="U641" i="1"/>
  <c r="R641" i="1"/>
  <c r="AF641" i="1" l="1"/>
  <c r="R729" i="1"/>
  <c r="L641" i="1" l="1"/>
  <c r="AA429" i="1"/>
  <c r="L429" i="1" s="1"/>
  <c r="AA62" i="1"/>
  <c r="R62" i="1"/>
  <c r="AF429" i="1" l="1"/>
  <c r="L62" i="1" l="1"/>
  <c r="AF62" i="1"/>
  <c r="AA94" i="1"/>
  <c r="AA95" i="1"/>
  <c r="R94" i="1"/>
  <c r="R95" i="1"/>
  <c r="L94" i="1" l="1"/>
  <c r="AF95" i="1"/>
  <c r="L95" i="1"/>
  <c r="AF94" i="1"/>
  <c r="R650" i="1" l="1"/>
  <c r="AA280" i="1" l="1"/>
  <c r="R280" i="1"/>
  <c r="L280" i="1" l="1"/>
  <c r="AF280" i="1"/>
  <c r="AA722" i="1"/>
  <c r="AA724" i="1"/>
  <c r="AA725" i="1"/>
  <c r="AA726" i="1"/>
  <c r="AA727" i="1"/>
  <c r="AA728" i="1"/>
  <c r="AA729" i="1"/>
  <c r="AA730" i="1"/>
  <c r="X722" i="1"/>
  <c r="X723" i="1"/>
  <c r="X724" i="1"/>
  <c r="X725" i="1"/>
  <c r="X726" i="1"/>
  <c r="X727" i="1"/>
  <c r="X728" i="1"/>
  <c r="X729" i="1"/>
  <c r="X730" i="1"/>
  <c r="U722" i="1"/>
  <c r="U723" i="1"/>
  <c r="U724" i="1"/>
  <c r="U725" i="1"/>
  <c r="U726" i="1"/>
  <c r="U727" i="1"/>
  <c r="U728" i="1"/>
  <c r="U729" i="1"/>
  <c r="U730" i="1"/>
  <c r="R722" i="1"/>
  <c r="R723" i="1"/>
  <c r="R724" i="1"/>
  <c r="R725" i="1"/>
  <c r="R726" i="1"/>
  <c r="R727" i="1"/>
  <c r="R728" i="1"/>
  <c r="AA718" i="1"/>
  <c r="AA719" i="1"/>
  <c r="AA720" i="1"/>
  <c r="AA721" i="1"/>
  <c r="AA732" i="1"/>
  <c r="AA733" i="1"/>
  <c r="AA734" i="1"/>
  <c r="AA675" i="1"/>
  <c r="AA736" i="1"/>
  <c r="AA737" i="1"/>
  <c r="AA738" i="1"/>
  <c r="AA766" i="1"/>
  <c r="X718" i="1"/>
  <c r="X719" i="1"/>
  <c r="X720" i="1"/>
  <c r="X721" i="1"/>
  <c r="X732" i="1"/>
  <c r="X733" i="1"/>
  <c r="X734" i="1"/>
  <c r="X675" i="1"/>
  <c r="X736" i="1"/>
  <c r="U718" i="1"/>
  <c r="U719" i="1"/>
  <c r="U720" i="1"/>
  <c r="U721" i="1"/>
  <c r="U732" i="1"/>
  <c r="U733" i="1"/>
  <c r="U734" i="1"/>
  <c r="U675" i="1"/>
  <c r="U736" i="1"/>
  <c r="U737" i="1"/>
  <c r="R718" i="1"/>
  <c r="R720" i="1"/>
  <c r="R721" i="1"/>
  <c r="R732" i="1"/>
  <c r="R733" i="1"/>
  <c r="R734" i="1"/>
  <c r="R675" i="1"/>
  <c r="R736" i="1"/>
  <c r="X737" i="1"/>
  <c r="R737" i="1"/>
  <c r="L725" i="1" l="1"/>
  <c r="L729" i="1"/>
  <c r="AF736" i="1"/>
  <c r="AF733" i="1"/>
  <c r="L719" i="1"/>
  <c r="AF732" i="1"/>
  <c r="AF734" i="1"/>
  <c r="AF720" i="1"/>
  <c r="AF727" i="1"/>
  <c r="AF723" i="1"/>
  <c r="AF728" i="1"/>
  <c r="L724" i="1"/>
  <c r="AF718" i="1"/>
  <c r="L737" i="1"/>
  <c r="AF721" i="1"/>
  <c r="AF675" i="1"/>
  <c r="AF730" i="1"/>
  <c r="AF726" i="1"/>
  <c r="AF722" i="1"/>
  <c r="L736" i="1" l="1"/>
  <c r="L726" i="1"/>
  <c r="L728" i="1"/>
  <c r="L723" i="1"/>
  <c r="L675" i="1"/>
  <c r="L733" i="1"/>
  <c r="L730" i="1"/>
  <c r="L718" i="1"/>
  <c r="L720" i="1"/>
  <c r="L727" i="1"/>
  <c r="L734" i="1"/>
  <c r="L722" i="1"/>
  <c r="L732" i="1"/>
  <c r="L721" i="1"/>
  <c r="AF719" i="1"/>
  <c r="AF729" i="1"/>
  <c r="AF724" i="1"/>
  <c r="AF725" i="1"/>
  <c r="AF737" i="1"/>
  <c r="AA8" i="1" l="1"/>
  <c r="AA9" i="1"/>
  <c r="R8" i="1"/>
  <c r="R9" i="1"/>
  <c r="R7" i="1" l="1"/>
  <c r="AF8" i="1" l="1"/>
  <c r="L8" i="1"/>
  <c r="AF9" i="1"/>
  <c r="L9" i="1"/>
  <c r="AA712" i="1"/>
  <c r="AA713" i="1"/>
  <c r="AA714" i="1"/>
  <c r="AA715" i="1"/>
  <c r="AA716" i="1"/>
  <c r="AA717" i="1"/>
  <c r="AA650" i="1"/>
  <c r="X712" i="1"/>
  <c r="X713" i="1"/>
  <c r="X714" i="1"/>
  <c r="X715" i="1"/>
  <c r="X716" i="1"/>
  <c r="X717" i="1"/>
  <c r="X650" i="1"/>
  <c r="U712" i="1"/>
  <c r="U713" i="1"/>
  <c r="U714" i="1"/>
  <c r="U715" i="1"/>
  <c r="U716" i="1"/>
  <c r="U717" i="1"/>
  <c r="U650" i="1"/>
  <c r="R712" i="1"/>
  <c r="R713" i="1"/>
  <c r="R714" i="1"/>
  <c r="R715" i="1"/>
  <c r="R716" i="1"/>
  <c r="R717" i="1"/>
  <c r="AF716" i="1" l="1"/>
  <c r="L650" i="1"/>
  <c r="AF717" i="1"/>
  <c r="AF713" i="1"/>
  <c r="AF712" i="1"/>
  <c r="AF714" i="1"/>
  <c r="R383" i="1"/>
  <c r="AF715" i="1" l="1"/>
  <c r="L714" i="1"/>
  <c r="L715" i="1"/>
  <c r="L717" i="1"/>
  <c r="L712" i="1"/>
  <c r="L713" i="1"/>
  <c r="L716" i="1"/>
  <c r="AF650" i="1"/>
  <c r="R710" i="1"/>
  <c r="R612" i="1" l="1"/>
  <c r="R706" i="1" l="1"/>
  <c r="AA383" i="1" l="1"/>
  <c r="X383" i="1"/>
  <c r="U383" i="1"/>
  <c r="L383" i="1" l="1"/>
  <c r="AF383" i="1"/>
  <c r="AA294" i="1"/>
  <c r="R294" i="1"/>
  <c r="L294" i="1" l="1"/>
  <c r="AA702" i="1"/>
  <c r="AA701" i="1"/>
  <c r="X701" i="1"/>
  <c r="AF294" i="1" l="1"/>
  <c r="AA416" i="1"/>
  <c r="X416" i="1"/>
  <c r="U416" i="1"/>
  <c r="AA700" i="1"/>
  <c r="U700" i="1"/>
  <c r="R700" i="1"/>
  <c r="AA703" i="1"/>
  <c r="AA640" i="1"/>
  <c r="AA687" i="1"/>
  <c r="AA706" i="1"/>
  <c r="AA707" i="1"/>
  <c r="AA708" i="1"/>
  <c r="AA709" i="1"/>
  <c r="AA710" i="1"/>
  <c r="AA711" i="1"/>
  <c r="X702" i="1"/>
  <c r="X703" i="1"/>
  <c r="X640" i="1"/>
  <c r="X687" i="1"/>
  <c r="X706" i="1"/>
  <c r="X707" i="1"/>
  <c r="X708" i="1"/>
  <c r="X709" i="1"/>
  <c r="X710" i="1"/>
  <c r="X711" i="1"/>
  <c r="X738" i="1"/>
  <c r="X766" i="1"/>
  <c r="U701" i="1"/>
  <c r="U702" i="1"/>
  <c r="U703" i="1"/>
  <c r="U640" i="1"/>
  <c r="U687" i="1"/>
  <c r="U706" i="1"/>
  <c r="U707" i="1"/>
  <c r="U708" i="1"/>
  <c r="U709" i="1"/>
  <c r="U710" i="1"/>
  <c r="U711" i="1"/>
  <c r="U738" i="1"/>
  <c r="U766" i="1"/>
  <c r="R701" i="1"/>
  <c r="R702" i="1"/>
  <c r="R703" i="1"/>
  <c r="R640" i="1"/>
  <c r="R687" i="1"/>
  <c r="R707" i="1"/>
  <c r="R708" i="1"/>
  <c r="R709" i="1"/>
  <c r="R711" i="1"/>
  <c r="R738" i="1"/>
  <c r="R766" i="1"/>
  <c r="L706" i="1" l="1"/>
  <c r="L710" i="1"/>
  <c r="AF711" i="1"/>
  <c r="AF640" i="1"/>
  <c r="AF702" i="1"/>
  <c r="AF703" i="1"/>
  <c r="AF766" i="1"/>
  <c r="AF700" i="1"/>
  <c r="AF709" i="1"/>
  <c r="AF687" i="1"/>
  <c r="L701" i="1"/>
  <c r="X699" i="1"/>
  <c r="AA699" i="1"/>
  <c r="U699" i="1"/>
  <c r="R699" i="1"/>
  <c r="L707" i="1" l="1"/>
  <c r="AF738" i="1"/>
  <c r="L416" i="1"/>
  <c r="L703" i="1"/>
  <c r="L711" i="1"/>
  <c r="L687" i="1"/>
  <c r="L738" i="1"/>
  <c r="L640" i="1"/>
  <c r="L766" i="1"/>
  <c r="L708" i="1"/>
  <c r="L700" i="1"/>
  <c r="L709" i="1"/>
  <c r="L702" i="1"/>
  <c r="AF710" i="1"/>
  <c r="AF416" i="1"/>
  <c r="AF708" i="1"/>
  <c r="AF707" i="1"/>
  <c r="AF706" i="1"/>
  <c r="AF701" i="1"/>
  <c r="AF699" i="1"/>
  <c r="AA698" i="1"/>
  <c r="X698" i="1"/>
  <c r="U698" i="1"/>
  <c r="R698" i="1"/>
  <c r="L699" i="1" l="1"/>
  <c r="AA683" i="1"/>
  <c r="AF698" i="1" l="1"/>
  <c r="L698" i="1"/>
  <c r="AA318" i="1"/>
  <c r="AA319" i="1"/>
  <c r="AA320" i="1"/>
  <c r="R319" i="1"/>
  <c r="R320" i="1"/>
  <c r="L319" i="1" l="1"/>
  <c r="L690" i="1"/>
  <c r="AF320" i="1" l="1"/>
  <c r="L320" i="1"/>
  <c r="AF319" i="1"/>
  <c r="R676" i="1"/>
  <c r="R688" i="1"/>
  <c r="R689" i="1"/>
  <c r="R691" i="1"/>
  <c r="R692" i="1"/>
  <c r="R693" i="1"/>
  <c r="R694" i="1"/>
  <c r="R695" i="1"/>
  <c r="AA682" i="1" l="1"/>
  <c r="AA684" i="1"/>
  <c r="AA685" i="1"/>
  <c r="AA686" i="1"/>
  <c r="AA676" i="1"/>
  <c r="AA688" i="1"/>
  <c r="AA689" i="1"/>
  <c r="AA691" i="1"/>
  <c r="AA692" i="1"/>
  <c r="AA693" i="1"/>
  <c r="AA694" i="1"/>
  <c r="AA695" i="1"/>
  <c r="AA696" i="1"/>
  <c r="AA697" i="1"/>
  <c r="X684" i="1"/>
  <c r="X685" i="1"/>
  <c r="X686" i="1"/>
  <c r="X676" i="1"/>
  <c r="X688" i="1"/>
  <c r="X689" i="1"/>
  <c r="X691" i="1"/>
  <c r="X692" i="1"/>
  <c r="X693" i="1"/>
  <c r="X694" i="1"/>
  <c r="X695" i="1"/>
  <c r="X696" i="1"/>
  <c r="X697" i="1"/>
  <c r="U686" i="1"/>
  <c r="U676" i="1"/>
  <c r="U688" i="1"/>
  <c r="U689" i="1"/>
  <c r="U691" i="1"/>
  <c r="U692" i="1"/>
  <c r="U693" i="1"/>
  <c r="U694" i="1"/>
  <c r="U695" i="1"/>
  <c r="U696" i="1"/>
  <c r="U697" i="1"/>
  <c r="R696" i="1"/>
  <c r="L694" i="1" l="1"/>
  <c r="L689" i="1"/>
  <c r="L693" i="1"/>
  <c r="L695" i="1"/>
  <c r="L691" i="1"/>
  <c r="L688" i="1"/>
  <c r="L676" i="1"/>
  <c r="L686" i="1"/>
  <c r="R46" i="1"/>
  <c r="L692" i="1" l="1"/>
  <c r="AF696" i="1"/>
  <c r="L696" i="1"/>
  <c r="AF694" i="1"/>
  <c r="AF693" i="1"/>
  <c r="AF686" i="1"/>
  <c r="AF692" i="1"/>
  <c r="AF690" i="1"/>
  <c r="AF688" i="1"/>
  <c r="AF689" i="1"/>
  <c r="AF695" i="1"/>
  <c r="AF691" i="1"/>
  <c r="AF676" i="1"/>
  <c r="R681" i="1"/>
  <c r="AA681" i="1"/>
  <c r="L46" i="1" l="1"/>
  <c r="AF46" i="1"/>
  <c r="X680" i="1"/>
  <c r="X679" i="1"/>
  <c r="U680" i="1"/>
  <c r="U679" i="1"/>
  <c r="R680" i="1"/>
  <c r="R679" i="1"/>
  <c r="AA258" i="1" l="1"/>
  <c r="R258" i="1"/>
  <c r="L258" i="1" s="1"/>
  <c r="AA679" i="1" l="1"/>
  <c r="L679" i="1" s="1"/>
  <c r="AA680" i="1"/>
  <c r="L680" i="1" s="1"/>
  <c r="X681" i="1"/>
  <c r="X682" i="1"/>
  <c r="X683" i="1"/>
  <c r="U681" i="1"/>
  <c r="U682" i="1"/>
  <c r="U683" i="1"/>
  <c r="U684" i="1"/>
  <c r="U685" i="1"/>
  <c r="R682" i="1"/>
  <c r="R683" i="1"/>
  <c r="R684" i="1"/>
  <c r="R685" i="1"/>
  <c r="R697" i="1"/>
  <c r="AF697" i="1" l="1"/>
  <c r="AF680" i="1"/>
  <c r="L683" i="1"/>
  <c r="L684" i="1"/>
  <c r="L682" i="1"/>
  <c r="L681" i="1"/>
  <c r="AF679" i="1"/>
  <c r="AA677" i="1"/>
  <c r="X677" i="1"/>
  <c r="U677" i="1"/>
  <c r="R677" i="1"/>
  <c r="L685" i="1" l="1"/>
  <c r="L697" i="1"/>
  <c r="L677" i="1"/>
  <c r="AF684" i="1"/>
  <c r="AF682" i="1"/>
  <c r="AF681" i="1"/>
  <c r="AF683" i="1"/>
  <c r="AF685" i="1"/>
  <c r="R644" i="1"/>
  <c r="AF677" i="1" l="1"/>
  <c r="AA452" i="1" l="1"/>
  <c r="X452" i="1"/>
  <c r="U452" i="1"/>
  <c r="R452" i="1"/>
  <c r="L452" i="1" l="1"/>
  <c r="AF452" i="1" l="1"/>
  <c r="U632" i="1"/>
  <c r="U607" i="1" l="1"/>
  <c r="U608" i="1"/>
  <c r="U609" i="1"/>
  <c r="U611" i="1"/>
  <c r="U613" i="1"/>
  <c r="U614" i="1"/>
  <c r="U615" i="1"/>
  <c r="U448" i="1"/>
  <c r="U617" i="1"/>
  <c r="U618" i="1"/>
  <c r="U619" i="1"/>
  <c r="U620" i="1"/>
  <c r="U449" i="1"/>
  <c r="U622" i="1"/>
  <c r="U623" i="1"/>
  <c r="U624" i="1"/>
  <c r="U625" i="1"/>
  <c r="U626" i="1"/>
  <c r="U627" i="1"/>
  <c r="U628" i="1"/>
  <c r="U629" i="1"/>
  <c r="U630" i="1"/>
  <c r="U631" i="1"/>
  <c r="U633" i="1"/>
  <c r="U634" i="1"/>
  <c r="U635" i="1"/>
  <c r="U453" i="1"/>
  <c r="U637" i="1"/>
  <c r="U450" i="1"/>
  <c r="U454" i="1"/>
  <c r="U610" i="1"/>
  <c r="U616" i="1"/>
  <c r="U642" i="1"/>
  <c r="U643" i="1"/>
  <c r="U638" i="1"/>
  <c r="U645" i="1"/>
  <c r="U646" i="1"/>
  <c r="U647" i="1"/>
  <c r="U648" i="1"/>
  <c r="U621" i="1"/>
  <c r="U636" i="1"/>
  <c r="U651" i="1"/>
  <c r="U652" i="1"/>
  <c r="U653" i="1"/>
  <c r="U654" i="1"/>
  <c r="U655" i="1"/>
  <c r="U656" i="1"/>
  <c r="U657" i="1"/>
  <c r="U658" i="1"/>
  <c r="U659" i="1"/>
  <c r="U660" i="1"/>
  <c r="U661" i="1"/>
  <c r="U662" i="1"/>
  <c r="U663" i="1"/>
  <c r="U664" i="1"/>
  <c r="U665" i="1"/>
  <c r="U666" i="1"/>
  <c r="U667" i="1"/>
  <c r="U668" i="1"/>
  <c r="U669" i="1"/>
  <c r="U670" i="1"/>
  <c r="U671" i="1"/>
  <c r="U672" i="1"/>
  <c r="U673" i="1"/>
  <c r="U674" i="1"/>
  <c r="U644" i="1"/>
  <c r="U678" i="1"/>
  <c r="AA433" i="1" l="1"/>
  <c r="X427" i="1"/>
  <c r="X428" i="1"/>
  <c r="X433" i="1"/>
  <c r="X426" i="1"/>
  <c r="R427" i="1"/>
  <c r="R428" i="1"/>
  <c r="R433" i="1"/>
  <c r="R426" i="1"/>
  <c r="X419" i="1"/>
  <c r="X417" i="1"/>
  <c r="X385" i="1"/>
  <c r="X384" i="1"/>
  <c r="X376" i="1"/>
  <c r="X365" i="1"/>
  <c r="R385" i="1"/>
  <c r="R384" i="1"/>
  <c r="R376" i="1"/>
  <c r="R318" i="1"/>
  <c r="R354" i="1"/>
  <c r="R337" i="1"/>
  <c r="R331" i="1"/>
  <c r="R313" i="1"/>
  <c r="R314" i="1"/>
  <c r="AA295" i="1"/>
  <c r="R295" i="1"/>
  <c r="R288" i="1"/>
  <c r="R281" i="1"/>
  <c r="R276" i="1"/>
  <c r="R257" i="1"/>
  <c r="R234" i="1"/>
  <c r="AA216" i="1"/>
  <c r="AA217" i="1"/>
  <c r="R216" i="1"/>
  <c r="R217" i="1"/>
  <c r="AA148" i="1"/>
  <c r="AA149" i="1"/>
  <c r="AA150" i="1"/>
  <c r="R149" i="1"/>
  <c r="R150" i="1"/>
  <c r="R200" i="1"/>
  <c r="AA189" i="1"/>
  <c r="AA192" i="1"/>
  <c r="R189" i="1"/>
  <c r="R192" i="1"/>
  <c r="AA181" i="1"/>
  <c r="R181" i="1"/>
  <c r="R178" i="1"/>
  <c r="R164" i="1"/>
  <c r="R163" i="1"/>
  <c r="R148" i="1"/>
  <c r="R147" i="1"/>
  <c r="R146" i="1"/>
  <c r="AA139" i="1"/>
  <c r="R93" i="1"/>
  <c r="R78" i="1"/>
  <c r="R79" i="1"/>
  <c r="R77" i="1"/>
  <c r="L318" i="1" l="1"/>
  <c r="L217" i="1"/>
  <c r="L181" i="1"/>
  <c r="L150" i="1"/>
  <c r="L149" i="1"/>
  <c r="L192" i="1"/>
  <c r="L189" i="1"/>
  <c r="AA77" i="1"/>
  <c r="AA78" i="1"/>
  <c r="L78" i="1" s="1"/>
  <c r="AA79" i="1"/>
  <c r="L79" i="1" s="1"/>
  <c r="AA92" i="1"/>
  <c r="AA93" i="1"/>
  <c r="AA120" i="1"/>
  <c r="AA121" i="1"/>
  <c r="AA131" i="1"/>
  <c r="AA132" i="1"/>
  <c r="AA146" i="1"/>
  <c r="AA147" i="1"/>
  <c r="AA163" i="1"/>
  <c r="AA164" i="1"/>
  <c r="AA178" i="1"/>
  <c r="AA180" i="1"/>
  <c r="AA188" i="1"/>
  <c r="AA199" i="1"/>
  <c r="AA208" i="1"/>
  <c r="AA215" i="1"/>
  <c r="AA224" i="1"/>
  <c r="AA234" i="1"/>
  <c r="AA235" i="1"/>
  <c r="L235" i="1" s="1"/>
  <c r="L236" i="1"/>
  <c r="AA257" i="1"/>
  <c r="AA259" i="1"/>
  <c r="AA275" i="1"/>
  <c r="AA276" i="1"/>
  <c r="AA281" i="1"/>
  <c r="AA287" i="1"/>
  <c r="AA288" i="1"/>
  <c r="AA293" i="1"/>
  <c r="AA312" i="1"/>
  <c r="AA313" i="1"/>
  <c r="AA314" i="1"/>
  <c r="L314" i="1" s="1"/>
  <c r="AA317" i="1"/>
  <c r="AA329" i="1"/>
  <c r="AA331" i="1"/>
  <c r="AA337" i="1"/>
  <c r="AA346" i="1"/>
  <c r="AA347" i="1"/>
  <c r="AA354" i="1"/>
  <c r="AA364" i="1"/>
  <c r="AA365" i="1"/>
  <c r="AA376" i="1"/>
  <c r="AA384" i="1"/>
  <c r="AA385" i="1"/>
  <c r="AA417" i="1"/>
  <c r="AA419" i="1"/>
  <c r="AA426" i="1"/>
  <c r="AA427" i="1"/>
  <c r="AA428" i="1"/>
  <c r="AA607" i="1"/>
  <c r="AA608" i="1"/>
  <c r="AA609" i="1"/>
  <c r="AA611" i="1"/>
  <c r="AA612" i="1"/>
  <c r="AA613" i="1"/>
  <c r="AA76" i="1"/>
  <c r="AF76" i="1"/>
  <c r="L148" i="1"/>
  <c r="L216" i="1"/>
  <c r="U329" i="1"/>
  <c r="U331" i="1"/>
  <c r="U337" i="1"/>
  <c r="U347" i="1"/>
  <c r="U354" i="1"/>
  <c r="U364" i="1"/>
  <c r="U365" i="1"/>
  <c r="U376" i="1"/>
  <c r="U384" i="1"/>
  <c r="U385" i="1"/>
  <c r="U417" i="1"/>
  <c r="U419" i="1"/>
  <c r="U426" i="1"/>
  <c r="U427" i="1"/>
  <c r="U428" i="1"/>
  <c r="U433" i="1"/>
  <c r="L433" i="1" s="1"/>
  <c r="R76" i="1"/>
  <c r="R63" i="1"/>
  <c r="R64" i="1"/>
  <c r="AA71" i="1"/>
  <c r="AA72" i="1"/>
  <c r="R71" i="1"/>
  <c r="R72" i="1"/>
  <c r="AA47" i="1"/>
  <c r="AA35" i="1"/>
  <c r="R35" i="1"/>
  <c r="AA124" i="1"/>
  <c r="AA28" i="1"/>
  <c r="AA29" i="1"/>
  <c r="L29" i="1" s="1"/>
  <c r="AA27" i="1"/>
  <c r="R124" i="1"/>
  <c r="AA21" i="1"/>
  <c r="AA22" i="1"/>
  <c r="AA20" i="1"/>
  <c r="R21" i="1"/>
  <c r="R22" i="1"/>
  <c r="R6" i="1"/>
  <c r="AA5" i="1"/>
  <c r="AA6" i="1"/>
  <c r="AA7" i="1"/>
  <c r="AA4" i="1"/>
  <c r="R608" i="1"/>
  <c r="AA614" i="1"/>
  <c r="AA615" i="1"/>
  <c r="AA448" i="1"/>
  <c r="AA617" i="1"/>
  <c r="AA618" i="1"/>
  <c r="AA619" i="1"/>
  <c r="AA620" i="1"/>
  <c r="AA449" i="1"/>
  <c r="AA622" i="1"/>
  <c r="AA623" i="1"/>
  <c r="AA624" i="1"/>
  <c r="AA625" i="1"/>
  <c r="AA626" i="1"/>
  <c r="AA627" i="1"/>
  <c r="AA628" i="1"/>
  <c r="AA629" i="1"/>
  <c r="AA630" i="1"/>
  <c r="AA631" i="1"/>
  <c r="AA632" i="1"/>
  <c r="AA633" i="1"/>
  <c r="AA634" i="1"/>
  <c r="AA635" i="1"/>
  <c r="AA453" i="1"/>
  <c r="AA637" i="1"/>
  <c r="AA450" i="1"/>
  <c r="AA454" i="1"/>
  <c r="AA610" i="1"/>
  <c r="AA616" i="1"/>
  <c r="AA642" i="1"/>
  <c r="AA643" i="1"/>
  <c r="AA638" i="1"/>
  <c r="AA645" i="1"/>
  <c r="AA646" i="1"/>
  <c r="AA647" i="1"/>
  <c r="AA648" i="1"/>
  <c r="AA621" i="1"/>
  <c r="AA636"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44" i="1"/>
  <c r="AA678" i="1"/>
  <c r="X623" i="1"/>
  <c r="X624" i="1"/>
  <c r="X625" i="1"/>
  <c r="X626" i="1"/>
  <c r="X627" i="1"/>
  <c r="X628" i="1"/>
  <c r="X629" i="1"/>
  <c r="X630" i="1"/>
  <c r="X631" i="1"/>
  <c r="X632" i="1"/>
  <c r="X633" i="1"/>
  <c r="X634" i="1"/>
  <c r="X635" i="1"/>
  <c r="X453" i="1"/>
  <c r="X637" i="1"/>
  <c r="X450" i="1"/>
  <c r="X454" i="1"/>
  <c r="X610" i="1"/>
  <c r="X616" i="1"/>
  <c r="X642" i="1"/>
  <c r="X643" i="1"/>
  <c r="X638" i="1"/>
  <c r="X645" i="1"/>
  <c r="X646" i="1"/>
  <c r="X647" i="1"/>
  <c r="X648" i="1"/>
  <c r="X621" i="1"/>
  <c r="X636" i="1"/>
  <c r="X651" i="1"/>
  <c r="X652" i="1"/>
  <c r="X653" i="1"/>
  <c r="X654" i="1"/>
  <c r="X655" i="1"/>
  <c r="X656" i="1"/>
  <c r="X657" i="1"/>
  <c r="X659" i="1"/>
  <c r="X660" i="1"/>
  <c r="X661" i="1"/>
  <c r="X662" i="1"/>
  <c r="X663" i="1"/>
  <c r="X664" i="1"/>
  <c r="X665" i="1"/>
  <c r="X666" i="1"/>
  <c r="X667" i="1"/>
  <c r="X668" i="1"/>
  <c r="X669" i="1"/>
  <c r="X670" i="1"/>
  <c r="X671" i="1"/>
  <c r="X672" i="1"/>
  <c r="X673" i="1"/>
  <c r="X674" i="1"/>
  <c r="X644" i="1"/>
  <c r="X678" i="1"/>
  <c r="X607" i="1"/>
  <c r="X608" i="1"/>
  <c r="X609" i="1"/>
  <c r="X611" i="1"/>
  <c r="X612" i="1"/>
  <c r="X613" i="1"/>
  <c r="X614" i="1"/>
  <c r="X615" i="1"/>
  <c r="X448" i="1"/>
  <c r="X617" i="1"/>
  <c r="X618" i="1"/>
  <c r="X619" i="1"/>
  <c r="X620" i="1"/>
  <c r="X449" i="1"/>
  <c r="X622" i="1"/>
  <c r="R607" i="1"/>
  <c r="R609" i="1"/>
  <c r="R611" i="1"/>
  <c r="R613" i="1"/>
  <c r="R614" i="1"/>
  <c r="R615" i="1"/>
  <c r="R448" i="1"/>
  <c r="R617" i="1"/>
  <c r="R618" i="1"/>
  <c r="R619" i="1"/>
  <c r="R620" i="1"/>
  <c r="R449" i="1"/>
  <c r="R622" i="1"/>
  <c r="R623" i="1"/>
  <c r="R625" i="1"/>
  <c r="R626" i="1"/>
  <c r="R627" i="1"/>
  <c r="R628" i="1"/>
  <c r="R629" i="1"/>
  <c r="R630" i="1"/>
  <c r="R631" i="1"/>
  <c r="R632" i="1"/>
  <c r="R633" i="1"/>
  <c r="R634" i="1"/>
  <c r="R635" i="1"/>
  <c r="R453" i="1"/>
  <c r="R637" i="1"/>
  <c r="R450" i="1"/>
  <c r="R454" i="1"/>
  <c r="R610" i="1"/>
  <c r="R616" i="1"/>
  <c r="R642" i="1"/>
  <c r="R643" i="1"/>
  <c r="R638" i="1"/>
  <c r="R645" i="1"/>
  <c r="R646" i="1"/>
  <c r="R647" i="1"/>
  <c r="R648" i="1"/>
  <c r="R621" i="1"/>
  <c r="R636" i="1"/>
  <c r="R651" i="1"/>
  <c r="R652" i="1"/>
  <c r="R653" i="1"/>
  <c r="R654" i="1"/>
  <c r="R655" i="1"/>
  <c r="R656" i="1"/>
  <c r="R657" i="1"/>
  <c r="R658" i="1"/>
  <c r="R659" i="1"/>
  <c r="R660" i="1"/>
  <c r="R661" i="1"/>
  <c r="R662" i="1"/>
  <c r="R663" i="1"/>
  <c r="R664" i="1"/>
  <c r="R665" i="1"/>
  <c r="R666" i="1"/>
  <c r="R667" i="1"/>
  <c r="R668" i="1"/>
  <c r="R669" i="1"/>
  <c r="R670" i="1"/>
  <c r="R671" i="1"/>
  <c r="R672" i="1"/>
  <c r="R674" i="1"/>
  <c r="R678" i="1"/>
  <c r="R293" i="1"/>
  <c r="R317" i="1"/>
  <c r="X364" i="1"/>
  <c r="AA70" i="1"/>
  <c r="R70" i="1"/>
  <c r="R312" i="1"/>
  <c r="R287" i="1"/>
  <c r="R224" i="1"/>
  <c r="R208" i="1"/>
  <c r="R215" i="1"/>
  <c r="R188" i="1"/>
  <c r="R199" i="1"/>
  <c r="R180" i="1"/>
  <c r="R139" i="1"/>
  <c r="R92" i="1"/>
  <c r="R54" i="1"/>
  <c r="R27" i="1"/>
  <c r="R20" i="1"/>
  <c r="X5" i="1"/>
  <c r="U5" i="1"/>
  <c r="R5" i="1"/>
  <c r="X4" i="1"/>
  <c r="U4" i="1"/>
  <c r="R4" i="1"/>
  <c r="L76" i="1" l="1"/>
  <c r="L28" i="1"/>
  <c r="AF29" i="1"/>
  <c r="L121" i="1"/>
  <c r="AF150" i="1"/>
  <c r="AF149" i="1"/>
  <c r="AF314" i="1"/>
  <c r="L276" i="1"/>
  <c r="AF79" i="1"/>
  <c r="AF192" i="1"/>
  <c r="AF235" i="1"/>
  <c r="AF181" i="1"/>
  <c r="AF78" i="1"/>
  <c r="AF236" i="1"/>
  <c r="AF216" i="1"/>
  <c r="AF189" i="1"/>
  <c r="AF217" i="1"/>
  <c r="AF148" i="1"/>
  <c r="AF318" i="1"/>
  <c r="L644" i="1"/>
  <c r="L164" i="1"/>
  <c r="L385" i="1"/>
  <c r="L124" i="1"/>
  <c r="L5" i="1"/>
  <c r="L672" i="1"/>
  <c r="L668" i="1"/>
  <c r="L664" i="1"/>
  <c r="L660" i="1"/>
  <c r="L656" i="1"/>
  <c r="L651" i="1"/>
  <c r="L647" i="1"/>
  <c r="L643" i="1"/>
  <c r="L454" i="1"/>
  <c r="L635" i="1"/>
  <c r="L631" i="1"/>
  <c r="L627" i="1"/>
  <c r="L623" i="1"/>
  <c r="L619" i="1"/>
  <c r="L615" i="1"/>
  <c r="L611" i="1"/>
  <c r="L427" i="1"/>
  <c r="L288" i="1"/>
  <c r="AD4" i="1"/>
  <c r="L671" i="1"/>
  <c r="L667" i="1"/>
  <c r="L663" i="1"/>
  <c r="L659" i="1"/>
  <c r="L655" i="1"/>
  <c r="L636" i="1"/>
  <c r="L646" i="1"/>
  <c r="L642" i="1"/>
  <c r="L450" i="1"/>
  <c r="L634" i="1"/>
  <c r="L630" i="1"/>
  <c r="L626" i="1"/>
  <c r="L622" i="1"/>
  <c r="L618" i="1"/>
  <c r="L614" i="1"/>
  <c r="L620" i="1"/>
  <c r="L257" i="1"/>
  <c r="L147" i="1"/>
  <c r="AF433" i="1"/>
  <c r="L419" i="1"/>
  <c r="L347" i="1"/>
  <c r="L365" i="1"/>
  <c r="L331" i="1"/>
  <c r="L93" i="1"/>
  <c r="L132" i="1"/>
  <c r="L200" i="1"/>
  <c r="L612" i="1"/>
  <c r="L637" i="1"/>
  <c r="L629" i="1"/>
  <c r="L625" i="1"/>
  <c r="L673" i="1"/>
  <c r="L669" i="1"/>
  <c r="L665" i="1"/>
  <c r="L661" i="1"/>
  <c r="L657" i="1"/>
  <c r="L652" i="1"/>
  <c r="L610" i="1"/>
  <c r="L453" i="1"/>
  <c r="L632" i="1"/>
  <c r="L628" i="1"/>
  <c r="L624" i="1"/>
  <c r="L608" i="1"/>
  <c r="L670" i="1"/>
  <c r="L666" i="1"/>
  <c r="L662" i="1"/>
  <c r="L658" i="1"/>
  <c r="L653" i="1"/>
  <c r="L621" i="1"/>
  <c r="L449" i="1"/>
  <c r="L617" i="1"/>
  <c r="L613" i="1"/>
  <c r="L609" i="1"/>
  <c r="L428" i="1"/>
  <c r="L313" i="1"/>
  <c r="L295" i="1"/>
  <c r="L72" i="1"/>
  <c r="L638" i="1" l="1"/>
  <c r="L178" i="1"/>
  <c r="L384" i="1"/>
  <c r="L64" i="1"/>
  <c r="L616" i="1"/>
  <c r="L648" i="1"/>
  <c r="L678" i="1"/>
  <c r="L674" i="1"/>
  <c r="L607" i="1"/>
  <c r="L163" i="1"/>
  <c r="L364" i="1"/>
  <c r="AF272" i="1"/>
  <c r="L272" i="1"/>
  <c r="L354" i="1"/>
  <c r="L376" i="1"/>
  <c r="AF271" i="1"/>
  <c r="L271" i="1"/>
  <c r="L337" i="1"/>
  <c r="L426" i="1"/>
  <c r="L131" i="1"/>
  <c r="L417" i="1"/>
  <c r="L346" i="1"/>
  <c r="L439" i="1"/>
  <c r="L633" i="1"/>
  <c r="L448" i="1"/>
  <c r="L275" i="1"/>
  <c r="L645" i="1"/>
  <c r="L92" i="1"/>
  <c r="L654" i="1"/>
  <c r="L7" i="1"/>
  <c r="L208" i="1"/>
  <c r="L287" i="1"/>
  <c r="L234" i="1"/>
  <c r="L312" i="1"/>
  <c r="L329" i="1"/>
  <c r="L293" i="1"/>
  <c r="L70" i="1"/>
  <c r="L63" i="1"/>
  <c r="L146" i="1"/>
  <c r="L281" i="1"/>
  <c r="L261" i="1"/>
  <c r="L120" i="1"/>
  <c r="L199" i="1"/>
  <c r="L77" i="1"/>
  <c r="L47" i="1"/>
  <c r="L139" i="1"/>
  <c r="L188" i="1"/>
  <c r="L54" i="1"/>
  <c r="L317" i="1"/>
  <c r="L180" i="1"/>
  <c r="AF22" i="1"/>
  <c r="L22" i="1"/>
  <c r="AF27" i="1"/>
  <c r="L27" i="1"/>
  <c r="L215" i="1"/>
  <c r="AF20" i="1"/>
  <c r="L20" i="1"/>
  <c r="L224" i="1"/>
  <c r="AF35" i="1"/>
  <c r="L35" i="1"/>
  <c r="AF6" i="1"/>
  <c r="L6" i="1"/>
  <c r="AF71" i="1"/>
  <c r="L71" i="1"/>
  <c r="AF21" i="1"/>
  <c r="L21" i="1"/>
  <c r="AF28" i="1"/>
  <c r="AF47" i="1"/>
  <c r="AF7" i="1"/>
  <c r="AF64" i="1"/>
  <c r="AF376" i="1"/>
  <c r="AF317" i="1"/>
  <c r="AF261" i="1"/>
  <c r="AF384" i="1"/>
  <c r="AF72" i="1"/>
  <c r="AF439" i="1"/>
  <c r="AF132" i="1"/>
  <c r="AF281" i="1"/>
  <c r="AF417" i="1"/>
  <c r="AF200" i="1"/>
  <c r="AF419" i="1"/>
  <c r="AF385" i="1"/>
  <c r="AF276" i="1"/>
  <c r="AF295" i="1"/>
  <c r="AF131" i="1"/>
  <c r="AF331" i="1"/>
  <c r="AF365" i="1"/>
  <c r="AF178" i="1"/>
  <c r="AF121" i="1"/>
  <c r="AF288" i="1"/>
  <c r="AF164" i="1"/>
  <c r="AF347" i="1"/>
  <c r="AF313" i="1"/>
  <c r="AF609" i="1"/>
  <c r="AF653" i="1"/>
  <c r="AF666" i="1"/>
  <c r="AF608" i="1"/>
  <c r="AF453" i="1"/>
  <c r="AF652" i="1"/>
  <c r="AF665" i="1"/>
  <c r="AF629" i="1"/>
  <c r="AF426" i="1"/>
  <c r="AF620" i="1"/>
  <c r="AF622" i="1"/>
  <c r="AF654" i="1"/>
  <c r="AF667" i="1"/>
  <c r="AF427" i="1"/>
  <c r="AF611" i="1"/>
  <c r="AF627" i="1"/>
  <c r="AF643" i="1"/>
  <c r="AF656" i="1"/>
  <c r="AF672" i="1"/>
  <c r="AF613" i="1"/>
  <c r="AF670" i="1"/>
  <c r="AF624" i="1"/>
  <c r="AF669" i="1"/>
  <c r="AF637" i="1"/>
  <c r="AF92" i="1"/>
  <c r="AF626" i="1"/>
  <c r="AF642" i="1"/>
  <c r="AF655" i="1"/>
  <c r="AF671" i="1"/>
  <c r="AF615" i="1"/>
  <c r="AF631" i="1"/>
  <c r="AF647" i="1"/>
  <c r="AF660" i="1"/>
  <c r="AF5" i="1"/>
  <c r="AF124" i="1"/>
  <c r="AF644" i="1"/>
  <c r="AF428" i="1"/>
  <c r="AF617" i="1"/>
  <c r="AF645" i="1"/>
  <c r="AF628" i="1"/>
  <c r="AF657" i="1"/>
  <c r="AF673" i="1"/>
  <c r="AF607" i="1"/>
  <c r="AF616" i="1"/>
  <c r="AF257" i="1"/>
  <c r="AF614" i="1"/>
  <c r="AF630" i="1"/>
  <c r="AF646" i="1"/>
  <c r="AF659" i="1"/>
  <c r="AF619" i="1"/>
  <c r="AF635" i="1"/>
  <c r="AF651" i="1"/>
  <c r="AF664" i="1"/>
  <c r="AF449" i="1"/>
  <c r="AF662" i="1"/>
  <c r="AF678" i="1"/>
  <c r="AF632" i="1"/>
  <c r="AF648" i="1"/>
  <c r="AF661" i="1"/>
  <c r="AF625" i="1"/>
  <c r="AF612" i="1"/>
  <c r="AF147" i="1"/>
  <c r="AF448" i="1"/>
  <c r="AF618" i="1"/>
  <c r="AF634" i="1"/>
  <c r="AF636" i="1"/>
  <c r="AF663" i="1"/>
  <c r="AF623" i="1"/>
  <c r="AF454" i="1"/>
  <c r="AF668" i="1"/>
  <c r="AF93" i="1"/>
  <c r="AF674" i="1"/>
  <c r="AF188" i="1"/>
  <c r="AF180" i="1"/>
  <c r="AF77" i="1"/>
  <c r="AF450" i="1"/>
  <c r="AF275" i="1"/>
  <c r="AF287" i="1"/>
  <c r="AF337" i="1"/>
  <c r="AF234" i="1"/>
  <c r="AF215" i="1"/>
  <c r="AF224" i="1"/>
  <c r="AF293" i="1"/>
  <c r="AF354" i="1"/>
  <c r="AF346" i="1"/>
  <c r="AF208" i="1"/>
  <c r="AF364" i="1"/>
  <c r="AF312" i="1"/>
  <c r="AF329" i="1"/>
  <c r="AF163" i="1"/>
  <c r="AF146" i="1"/>
  <c r="AF199" i="1"/>
  <c r="AF139" i="1"/>
  <c r="AF120" i="1"/>
  <c r="AF63" i="1"/>
  <c r="AF638" i="1"/>
  <c r="AF610" i="1"/>
  <c r="AF658" i="1"/>
  <c r="AF621" i="1"/>
  <c r="AF633" i="1"/>
  <c r="AF54" i="1"/>
  <c r="L4" i="1"/>
  <c r="AF70" i="1"/>
  <c r="AF4" i="1"/>
  <c r="XFB4" i="1" l="1"/>
  <c r="AA210" i="1" l="1"/>
  <c r="L210" i="1" l="1"/>
  <c r="AF210" i="1"/>
  <c r="U259" i="1" l="1"/>
  <c r="AF259" i="1" l="1"/>
  <c r="L259" i="1"/>
  <c r="R408" i="1" l="1"/>
  <c r="L408" i="1" l="1"/>
  <c r="AF408" i="1"/>
  <c r="L471" i="1" l="1"/>
  <c r="AF471" i="1"/>
  <c r="AF894" i="1" s="1"/>
  <c r="X471" i="1" l="1"/>
</calcChain>
</file>

<file path=xl/sharedStrings.xml><?xml version="1.0" encoding="utf-8"?>
<sst xmlns="http://schemas.openxmlformats.org/spreadsheetml/2006/main" count="10634" uniqueCount="3321">
  <si>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</si>
  <si>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</si>
  <si>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</si>
  <si>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</si>
  <si>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</si>
  <si>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</si>
  <si>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</si>
  <si>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</si>
  <si>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</si>
  <si>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</si>
  <si>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</si>
  <si>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</si>
  <si>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</si>
  <si>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</si>
  <si>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</si>
  <si>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</si>
  <si>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</si>
  <si>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</si>
  <si>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</si>
  <si>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</si>
  <si>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</si>
  <si>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</si>
  <si>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</si>
  <si>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</si>
  <si>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</si>
  <si>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</si>
  <si>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</si>
  <si>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</si>
  <si>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</si>
  <si>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</si>
  <si>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</si>
  <si>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</si>
  <si>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</si>
  <si>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</si>
  <si>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</si>
  <si>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</si>
  <si>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</si>
  <si>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</si>
  <si>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</si>
  <si>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</si>
  <si>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</si>
  <si>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</si>
  <si>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</si>
  <si>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</si>
  <si>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</si>
  <si>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</si>
  <si>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</si>
  <si>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</si>
  <si>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</si>
  <si>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</si>
  <si>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</si>
  <si>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</si>
  <si>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</si>
  <si>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</si>
  <si>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</si>
  <si>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</si>
  <si>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</si>
  <si>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</si>
  <si>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</si>
  <si>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</si>
  <si>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</si>
  <si>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</si>
  <si>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</si>
  <si>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</si>
  <si>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</si>
  <si>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</si>
  <si>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</si>
  <si>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</si>
  <si>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</si>
  <si>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</si>
  <si>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</si>
  <si>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</si>
  <si>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</si>
  <si>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</si>
  <si>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</si>
  <si>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</si>
  <si>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</si>
  <si>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</si>
  <si>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</si>
  <si>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</si>
  <si>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</si>
  <si>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</si>
  <si>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</si>
  <si>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</si>
  <si>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</si>
  <si>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</si>
  <si>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</si>
  <si>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</si>
  <si>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</si>
  <si>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</si>
  <si>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</si>
  <si>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</si>
  <si>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</si>
  <si>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</si>
  <si>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</si>
  <si>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</si>
  <si>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</si>
  <si>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</si>
  <si>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</si>
  <si>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</si>
  <si>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</si>
  <si>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</si>
  <si>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</si>
  <si>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</si>
  <si>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</si>
  <si>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</si>
  <si>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</si>
  <si>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</si>
  <si>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</si>
  <si>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</si>
  <si>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</si>
  <si>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</si>
  <si>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</si>
  <si>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</si>
  <si>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</si>
  <si>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</si>
  <si>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</si>
  <si>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</si>
  <si>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</si>
  <si>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</si>
  <si>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</si>
  <si>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</si>
  <si>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</si>
  <si>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</si>
  <si>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</si>
  <si>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</si>
  <si>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</si>
  <si>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</si>
  <si>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</si>
  <si>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</si>
  <si>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</si>
  <si>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</si>
  <si>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</si>
  <si>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</si>
  <si>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</si>
  <si>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</si>
  <si>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</si>
  <si>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</si>
  <si>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</si>
  <si>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</si>
  <si>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</si>
  <si>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</si>
  <si>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</si>
  <si>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</si>
  <si>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</si>
  <si>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</si>
  <si>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</si>
  <si>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</si>
  <si>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</si>
  <si>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</si>
  <si>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</si>
  <si>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</si>
  <si>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</si>
  <si>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</si>
  <si>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</si>
  <si>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</si>
  <si>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</si>
  <si>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</si>
  <si>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</si>
  <si>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</si>
  <si>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</si>
  <si>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</si>
  <si>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</si>
  <si>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</si>
  <si>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</si>
  <si>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</si>
  <si>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</si>
  <si>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</si>
  <si>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</si>
  <si>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</si>
  <si>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</si>
  <si>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</si>
  <si>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</si>
  <si>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</si>
  <si>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</si>
  <si>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</si>
  <si>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</si>
  <si>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</si>
  <si>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</si>
  <si>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</si>
  <si>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</si>
  <si>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</si>
  <si>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</si>
  <si>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</si>
  <si>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</si>
  <si>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</si>
  <si>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</si>
  <si>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</si>
  <si>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</si>
  <si>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</si>
  <si>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</si>
  <si>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</si>
  <si>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</si>
  <si>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</si>
  <si>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</si>
  <si>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</si>
  <si>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</si>
  <si>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</si>
  <si>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</si>
  <si>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</si>
  <si>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</si>
  <si>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</si>
  <si>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</si>
  <si>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</si>
  <si>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</si>
  <si>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</si>
  <si>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</si>
  <si>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</si>
  <si>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</si>
  <si>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</si>
  <si>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</si>
  <si>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</si>
  <si>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</si>
  <si>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</si>
  <si>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</si>
  <si>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</si>
  <si>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</si>
  <si>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</si>
  <si>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</si>
  <si>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</si>
  <si>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</si>
  <si>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</si>
  <si>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</si>
  <si>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</si>
  <si>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</si>
  <si>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</si>
  <si>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</si>
  <si>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</si>
  <si>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</si>
  <si>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</si>
  <si>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</si>
  <si>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</si>
  <si>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</si>
  <si>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</si>
  <si>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</si>
  <si>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</si>
  <si>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</si>
  <si>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</si>
  <si>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</si>
  <si>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</si>
  <si>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</si>
  <si>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</si>
  <si>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</si>
  <si>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</si>
  <si>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</si>
  <si>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</si>
  <si>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</si>
  <si>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</si>
  <si>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</si>
  <si>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</si>
  <si>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</si>
  <si>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</si>
  <si>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</si>
  <si>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</si>
  <si>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</si>
  <si>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</si>
  <si>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</si>
  <si>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</si>
  <si>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</si>
  <si>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</si>
  <si>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</si>
  <si>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</si>
  <si>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</si>
  <si>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</si>
  <si>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</si>
  <si>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</si>
  <si>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</si>
  <si>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</si>
  <si>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</si>
  <si>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</si>
  <si>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</si>
  <si>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</si>
  <si>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</si>
  <si>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</si>
  <si>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</si>
  <si>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</si>
  <si>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</si>
  <si>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</si>
  <si>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</si>
  <si>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</si>
  <si>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</si>
  <si>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</si>
  <si>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</si>
  <si>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</si>
  <si>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</si>
  <si>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</si>
  <si>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</si>
  <si>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</si>
  <si>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</si>
  <si>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</si>
  <si>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</si>
  <si>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</si>
  <si>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</si>
  <si>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</si>
  <si>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</si>
  <si>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</si>
  <si>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</si>
  <si>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</si>
  <si>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</si>
  <si>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</si>
  <si>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</si>
  <si>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</si>
  <si>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</si>
  <si>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</si>
  <si>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</si>
  <si>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</si>
  <si>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</si>
  <si>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</si>
  <si>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</si>
  <si>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</si>
  <si>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</si>
  <si>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</si>
  <si>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</si>
  <si>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</si>
  <si>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</si>
  <si>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</si>
  <si>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</si>
  <si>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</si>
  <si>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</si>
  <si>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</si>
  <si>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</si>
  <si>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</si>
  <si>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</si>
  <si>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</si>
  <si>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</si>
  <si>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</si>
  <si>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</si>
  <si>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</si>
  <si>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</si>
  <si>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</si>
  <si>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</si>
  <si>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</si>
  <si>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</si>
  <si>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</si>
  <si>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</si>
  <si>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</si>
  <si>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</si>
  <si>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</si>
  <si>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</si>
  <si>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</si>
  <si>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</si>
  <si>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</si>
  <si>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</si>
  <si>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</si>
  <si>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</si>
  <si>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</si>
  <si>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</si>
  <si>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</si>
  <si>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</si>
  <si>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</si>
  <si>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</si>
  <si>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</si>
  <si>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</si>
  <si>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</si>
  <si>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</si>
  <si>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</si>
  <si>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</si>
  <si>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</si>
  <si>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</si>
  <si>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</si>
  <si>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</si>
  <si>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</si>
  <si>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</si>
  <si>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</si>
  <si>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</si>
  <si>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</si>
  <si>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</si>
  <si>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</si>
  <si>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</si>
  <si>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</si>
  <si>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</si>
  <si>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</si>
  <si>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</si>
  <si>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</si>
  <si>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</si>
  <si>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</si>
  <si>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</si>
  <si>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</si>
  <si>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</si>
  <si>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</si>
  <si>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</si>
  <si>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</si>
  <si>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</si>
  <si>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</si>
  <si>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</si>
  <si>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</si>
  <si>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</si>
  <si>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</si>
  <si>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</si>
  <si>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</si>
  <si>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</si>
  <si>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</si>
  <si>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</si>
  <si>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</si>
  <si>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</si>
  <si>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</si>
  <si>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</si>
  <si>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</si>
  <si>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</si>
  <si>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</si>
  <si>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</si>
  <si>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</si>
  <si>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</si>
  <si>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</si>
  <si>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</si>
  <si>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</si>
  <si>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</si>
  <si>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</si>
  <si>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</si>
  <si>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</si>
  <si>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</si>
  <si>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</si>
  <si>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</si>
  <si>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</si>
  <si>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</si>
  <si>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</si>
  <si>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</si>
  <si>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</si>
  <si>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</si>
  <si>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</si>
  <si>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</si>
  <si>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</si>
  <si>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</si>
  <si>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</si>
  <si>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</si>
  <si>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</si>
  <si>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</si>
  <si>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</si>
  <si>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</si>
  <si>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</si>
  <si>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</si>
  <si>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</si>
  <si>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</si>
  <si>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</si>
  <si>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</si>
  <si>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</si>
  <si>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</si>
  <si>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</si>
  <si>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</si>
  <si>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</si>
  <si>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</si>
  <si>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</si>
  <si>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</si>
  <si>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</si>
  <si>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</si>
  <si>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</si>
  <si>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</si>
  <si>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</si>
  <si>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</si>
  <si>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</si>
  <si>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</si>
  <si>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</si>
  <si>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</si>
  <si>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</si>
  <si>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</si>
  <si>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</si>
  <si>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</si>
  <si>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</si>
  <si>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</si>
  <si>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</si>
  <si>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119 -  Investiții în capacitatea instituțională și în eficiența administrațiilor și a serviciilor publice la nivel național, regional și local, în perspectiva realizării de reforme, a unei mai bune legiferări și a bunei guvernanțe</t>
  </si>
  <si>
    <t>Consolidarea capacității instituționale a Oficiului Național al Registrului Comerțului, a sistemului registrului comerțului și a sistemului de publicitate legală</t>
  </si>
  <si>
    <t>Fundația Corona</t>
  </si>
  <si>
    <t>1. MDRAP</t>
  </si>
  <si>
    <t>Bugetarea pe bază de gen în politicile public</t>
  </si>
  <si>
    <t>FUNDAÞIA "CENTRUL DE MEDIERE SI SECURITATE COMUNITARA" 
AGENTIA NATIONALA PENTRU
EGALITATEA DE SANSE INTRE FEMEI
SI BARBATI</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</si>
  <si>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</si>
  <si>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</si>
  <si>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</si>
  <si>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</si>
  <si>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</si>
  <si>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</si>
  <si>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Medierea-politică publică eficientă în dialogul civic</t>
  </si>
  <si>
    <t>Asociația "Centrul de Mediere si Arbitraj Propact"</t>
  </si>
  <si>
    <t>Universitatea ”Andrei Șaguna”</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</si>
  <si>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</si>
  <si>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</si>
  <si>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</si>
  <si>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</si>
  <si>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</si>
  <si>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</si>
  <si>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Motru</t>
  </si>
  <si>
    <t>Asociația pentru Implicare Socială, Educație și Cultură</t>
  </si>
  <si>
    <t>Asociația “Ai încredere”</t>
  </si>
  <si>
    <t xml:space="preserve">P1: Asociația de Dezvoltare Durabilă a Județului Tulcea 
</t>
  </si>
  <si>
    <t>Tulcea</t>
  </si>
  <si>
    <t xml:space="preserve"> în implementare</t>
  </si>
  <si>
    <t>Dezvoltarea unui sistem unitar de management al calității la nivelul Consiliului Județean Vâlcea și al instituțiilor subordonate</t>
  </si>
  <si>
    <t>Județul Vâlcea</t>
  </si>
  <si>
    <t>Râmnicu Vâlcea</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</si>
  <si>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</si>
  <si>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</si>
  <si>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</si>
  <si>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</si>
  <si>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</si>
  <si>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</si>
  <si>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</si>
  <si>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</si>
  <si>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</si>
  <si>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</si>
  <si>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</si>
  <si>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</si>
  <si>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</si>
  <si>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</si>
  <si>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</si>
  <si>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</si>
  <si>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</si>
  <si>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</si>
  <si>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</si>
  <si>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</si>
  <si>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</si>
  <si>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</si>
  <si>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Platforma Acţiunilor Comune Transparente - PACT A.Co.R</t>
  </si>
  <si>
    <t>Asociația Comunelor din România</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</si>
  <si>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</si>
  <si>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</si>
  <si>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</si>
  <si>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</si>
  <si>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</si>
  <si>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</si>
  <si>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</si>
  <si>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Asociația Centrul pentru Legislație Nonprofit</t>
  </si>
  <si>
    <t>Îmbunatațirea cadrului juridic privind finanțarea publica a organizațiilor neguvernamentale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</si>
  <si>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</si>
  <si>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</si>
  <si>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</si>
  <si>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</si>
  <si>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</si>
  <si>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</si>
  <si>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</si>
  <si>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</si>
  <si>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</si>
  <si>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</si>
  <si>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</si>
  <si>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</si>
  <si>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</si>
  <si>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</si>
  <si>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</si>
  <si>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</si>
  <si>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</si>
  <si>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</si>
  <si>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Targu Jiu</t>
  </si>
  <si>
    <t>Legislație actualizată pentru un comerț calitativ cu produse agroalimentare</t>
  </si>
  <si>
    <t>Asociația ACDBR</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</si>
  <si>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</si>
  <si>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</si>
  <si>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</si>
  <si>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</si>
  <si>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</si>
  <si>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</si>
  <si>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</si>
  <si>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</si>
  <si>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</si>
  <si>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</si>
  <si>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</si>
  <si>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</si>
  <si>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</si>
  <si>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</si>
  <si>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</si>
  <si>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</si>
  <si>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</si>
  <si>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</si>
  <si>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</si>
  <si>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</si>
  <si>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</si>
  <si>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</si>
  <si>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</si>
  <si>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</si>
  <si>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</si>
  <si>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</si>
  <si>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</si>
  <si>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</si>
  <si>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</si>
  <si>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</si>
  <si>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</si>
  <si>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</si>
  <si>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</si>
  <si>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</si>
  <si>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</si>
  <si>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</si>
  <si>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</si>
  <si>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</si>
  <si>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</si>
  <si>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</si>
  <si>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</si>
  <si>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</si>
  <si>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</si>
  <si>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</si>
  <si>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</si>
  <si>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</si>
  <si>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</si>
  <si>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</si>
  <si>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</si>
  <si>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</si>
  <si>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</si>
  <si>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</si>
  <si>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</si>
  <si>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Certificarea activităților Consiliului Județean Argeș și dezvoltarea abilităților personalului, în concordanță cu prevederile SCAP</t>
  </si>
  <si>
    <t>Județul Argeș</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</si>
  <si>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</si>
  <si>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</si>
  <si>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</si>
  <si>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</si>
  <si>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</si>
  <si>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</si>
  <si>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</si>
  <si>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</si>
  <si>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</si>
  <si>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</si>
  <si>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</si>
  <si>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</si>
  <si>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</si>
  <si>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</si>
  <si>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</si>
  <si>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</si>
  <si>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</si>
  <si>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</si>
  <si>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</si>
  <si>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</si>
  <si>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</si>
  <si>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</si>
  <si>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</si>
  <si>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</si>
  <si>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</si>
  <si>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</si>
  <si>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</si>
  <si>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</si>
  <si>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</si>
  <si>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</si>
  <si>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</si>
  <si>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</si>
  <si>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</si>
  <si>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</si>
  <si>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Botoșani</t>
  </si>
  <si>
    <t>Monumente istorice - planificare strategica si politici publice optimizate</t>
  </si>
  <si>
    <t>INSTITUTUL NATIONAL AL PATRIMONIULUI/Direcþia Patrimoniu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</si>
  <si>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</si>
  <si>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</si>
  <si>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</si>
  <si>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</si>
  <si>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</si>
  <si>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</si>
  <si>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</si>
  <si>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</si>
  <si>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</si>
  <si>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</si>
  <si>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</si>
  <si>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</si>
  <si>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</si>
  <si>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</si>
  <si>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</si>
  <si>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</si>
  <si>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</si>
  <si>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</si>
  <si>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</si>
  <si>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</si>
  <si>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</si>
  <si>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Sa spunem NU coruptiei</t>
  </si>
  <si>
    <t>Județul Sibiu</t>
  </si>
  <si>
    <t>Asociația Română Pentru Transparență</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</si>
  <si>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</si>
  <si>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</si>
  <si>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</si>
  <si>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</si>
  <si>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</si>
  <si>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</si>
  <si>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</si>
  <si>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</si>
  <si>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</si>
  <si>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</si>
  <si>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</si>
  <si>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</si>
  <si>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Spre o administrație publică performantă</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</si>
  <si>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</si>
  <si>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</si>
  <si>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</si>
  <si>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</si>
  <si>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</si>
  <si>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</si>
  <si>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</si>
  <si>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</si>
  <si>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</si>
  <si>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</si>
  <si>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</si>
  <si>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</si>
  <si>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</si>
  <si>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</si>
  <si>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</si>
  <si>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</si>
  <si>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</si>
  <si>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</si>
  <si>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</si>
  <si>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</si>
  <si>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</si>
  <si>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</si>
  <si>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</si>
  <si>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</si>
  <si>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</si>
  <si>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Politici publice alternative de mediu în România</t>
  </si>
  <si>
    <t>Asociația Simț Civic</t>
  </si>
  <si>
    <t>ASOCIATIA ROMANA PENTRU MANAGEMENTUL DESEURILOR - A.R.M.D.</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</si>
  <si>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</si>
  <si>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</si>
  <si>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</si>
  <si>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</si>
  <si>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</si>
  <si>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</si>
  <si>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</si>
  <si>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</si>
  <si>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</si>
  <si>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</si>
  <si>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</si>
  <si>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</si>
  <si>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</si>
  <si>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</si>
  <si>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</si>
  <si>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</si>
  <si>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</si>
  <si>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</si>
  <si>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</si>
  <si>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</si>
  <si>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</si>
  <si>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</si>
  <si>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</si>
  <si>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</si>
  <si>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</si>
  <si>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</si>
  <si>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Fundația de Sprijin Comunitar</t>
  </si>
  <si>
    <t>ASOCIATIA FOUR CHANGE; UNIVERSITATEA "DANUBIUS" DIN GALATI</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</si>
  <si>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</si>
  <si>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</si>
  <si>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</si>
  <si>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</si>
  <si>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</si>
  <si>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</si>
  <si>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</si>
  <si>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</si>
  <si>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</si>
  <si>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</si>
  <si>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</si>
  <si>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</si>
  <si>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</si>
  <si>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</si>
  <si>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</si>
  <si>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</si>
  <si>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</si>
  <si>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</si>
  <si>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</si>
  <si>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</si>
  <si>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</si>
  <si>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</si>
  <si>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</si>
  <si>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</si>
  <si>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</si>
  <si>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</si>
  <si>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</si>
  <si>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</si>
  <si>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</si>
  <si>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</si>
  <si>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</si>
  <si>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</si>
  <si>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</si>
  <si>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</si>
  <si>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</si>
  <si>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</si>
  <si>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</si>
  <si>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</si>
  <si>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</si>
  <si>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</si>
  <si>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</si>
  <si>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</si>
  <si>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</si>
  <si>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</si>
  <si>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</si>
  <si>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</si>
  <si>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</si>
  <si>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</si>
  <si>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</si>
  <si>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</si>
  <si>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</si>
  <si>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</si>
  <si>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</si>
  <si>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</si>
  <si>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</si>
  <si>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</si>
  <si>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</si>
  <si>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</si>
  <si>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</si>
  <si>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</si>
  <si>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</si>
  <si>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</si>
  <si>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</si>
  <si>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</si>
  <si>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</si>
  <si>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</si>
  <si>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</si>
  <si>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</si>
  <si>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</si>
  <si>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</si>
  <si>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</si>
  <si>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</si>
  <si>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</si>
  <si>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</si>
  <si>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</si>
  <si>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</si>
  <si>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</si>
  <si>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</si>
  <si>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</si>
  <si>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</si>
  <si>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</si>
  <si>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</si>
  <si>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</si>
  <si>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</si>
  <si>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</si>
  <si>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</si>
  <si>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</si>
  <si>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</si>
  <si>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</si>
  <si>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Implicarea salvează vieți!</t>
  </si>
  <si>
    <t>Societatea Națională de Cruce Roșie din România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</si>
  <si>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</si>
  <si>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</si>
  <si>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</si>
  <si>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</si>
  <si>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</si>
  <si>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</si>
  <si>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</si>
  <si>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</si>
  <si>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</si>
  <si>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</si>
  <si>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</si>
  <si>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</si>
  <si>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</si>
  <si>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</si>
  <si>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</si>
  <si>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</si>
  <si>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</si>
  <si>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</si>
  <si>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</si>
  <si>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</si>
  <si>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</si>
  <si>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</si>
  <si>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Târgoviște</t>
  </si>
  <si>
    <t>Help again!</t>
  </si>
  <si>
    <t>SOCIETATEA NATIONALĂ DE CRUCE ROȘIE FILIALA SATU MARE</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</si>
  <si>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</si>
  <si>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</si>
  <si>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</si>
  <si>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</si>
  <si>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</si>
  <si>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</si>
  <si>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</si>
  <si>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</si>
  <si>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</si>
  <si>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</si>
  <si>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</si>
  <si>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</si>
  <si>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</si>
  <si>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</si>
  <si>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</si>
  <si>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</si>
  <si>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</si>
  <si>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</si>
  <si>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</si>
  <si>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</si>
  <si>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Ploiești</t>
  </si>
  <si>
    <t>DialLogos</t>
  </si>
  <si>
    <t>SINDICATUL NATIONAL AL LUCRATORILOR DE PENITENCIARE</t>
  </si>
  <si>
    <t>INSTITUTUL NATIONAL DE
CERCETARE STIINTIFICA IN
DOMENIUL MUNCII SI PROTECTIEI
SOCIALE - I N C S M P S</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</si>
  <si>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</si>
  <si>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</si>
  <si>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</si>
  <si>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</si>
  <si>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Municipiul Buzau</t>
  </si>
  <si>
    <t>METROPOLITAN – Politica publica alternativa la politicile publice iniþiate de Guvern în domeniul
transportului public local si metropolitan de calatori din România</t>
  </si>
  <si>
    <t>Asociația pentru Mobilitate Metropolitană</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</si>
  <si>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</si>
  <si>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</si>
  <si>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</si>
  <si>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</si>
  <si>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</si>
  <si>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</si>
  <si>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</si>
  <si>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</si>
  <si>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</si>
  <si>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</si>
  <si>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</si>
  <si>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</si>
  <si>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</si>
  <si>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</si>
  <si>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</si>
  <si>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</si>
  <si>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</si>
  <si>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</si>
  <si>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</si>
  <si>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</si>
  <si>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</si>
  <si>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</si>
  <si>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</si>
  <si>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</si>
  <si>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</si>
  <si>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Sisteme informatice inovative pentru simplificare administrativă și optimizare a furnizării serviciilor pentru cetățeni</t>
  </si>
  <si>
    <t>Eficienta instituțională prin investiții la nivel
local</t>
  </si>
  <si>
    <t>CP10 more/2018</t>
  </si>
  <si>
    <t>e-CETATEAN (Cunoastere, Egalitate, Transparenta, Administratie, Tinta, Evolutie,Actualitate, Normalitate)</t>
  </si>
  <si>
    <t>Sector 4 București</t>
  </si>
  <si>
    <t>Municipiul Roman</t>
  </si>
  <si>
    <t>ADMINISTRAȚIE ELECTRONICĂ LA NIVELUL MUNICIPIULUI ROMAN PENTRU REDUCEREA
BIROCRAȚIEI</t>
  </si>
  <si>
    <t>Municipiul Târgu Jiu</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</si>
  <si>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</si>
  <si>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</si>
  <si>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</si>
  <si>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</si>
  <si>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</si>
  <si>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</si>
  <si>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</si>
  <si>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</si>
  <si>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Smart CT</t>
  </si>
  <si>
    <t>eFuncționar+. Servicii electronice și simplificare administrativă</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</si>
  <si>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</si>
  <si>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</si>
  <si>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</si>
  <si>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</si>
  <si>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</si>
  <si>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</si>
  <si>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</si>
  <si>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</si>
  <si>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</si>
  <si>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</si>
  <si>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</si>
  <si>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</si>
  <si>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</si>
  <si>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</si>
  <si>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</si>
  <si>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</si>
  <si>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</si>
  <si>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AA 1/05.12.2018</t>
  </si>
  <si>
    <t>Mecanisme si proceduri administrative moderne in Primaria Giurgiu (MEPAM)</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</si>
  <si>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</si>
  <si>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</si>
  <si>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</si>
  <si>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</si>
  <si>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</si>
  <si>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Platforma online pentru eficientizarea
serviciilor publice oferite cetaþenilor de
Unitatea Administrativ-Teritoriala Judeþul
Ilfov</t>
  </si>
  <si>
    <t>eCetatean@Sighisoara2021</t>
  </si>
  <si>
    <t>Municipiul Sighișoara</t>
  </si>
  <si>
    <t>AA6/02.11.2018</t>
  </si>
  <si>
    <t>Municipiul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</si>
  <si>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</si>
  <si>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</si>
  <si>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</si>
  <si>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</si>
  <si>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</si>
  <si>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</si>
  <si>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</si>
  <si>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</si>
  <si>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</si>
  <si>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</si>
  <si>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</si>
  <si>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Cresterea capacității administrative a autorității publice locale a Municipiului Codlea, in fundamentarea deciziilor, planificarea strategică si măsurile de simplificare pentru cetățeni</t>
  </si>
  <si>
    <t>Municipiul Codlea</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</si>
  <si>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</si>
  <si>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</si>
  <si>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</si>
  <si>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Consolidarea mecanismului de coordonare a implementarii Conventiei ONU privind drepturile persoanelor cu dizabilitati</t>
  </si>
  <si>
    <t>Capacitate administrativă ridicată prin investiții integrate și complementare - CARIC</t>
  </si>
  <si>
    <t>Județul Galați</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</si>
  <si>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</si>
  <si>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</si>
  <si>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</si>
  <si>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</si>
  <si>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</si>
  <si>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</si>
  <si>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</si>
  <si>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</si>
  <si>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</si>
  <si>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</si>
  <si>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</si>
  <si>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</si>
  <si>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</si>
  <si>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</si>
  <si>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ASOCIATIA "SOCIETATEA NATIONALA SPIRU HARET PENTRU EDUCATIE, STIINTA SI CULTURA"</t>
  </si>
  <si>
    <t>iNFOLex</t>
  </si>
  <si>
    <t>CP8 less /2018</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</si>
  <si>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</si>
  <si>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</si>
  <si>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</si>
  <si>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</si>
  <si>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</si>
  <si>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</si>
  <si>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</si>
  <si>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</si>
  <si>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</si>
  <si>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</si>
  <si>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</si>
  <si>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</si>
  <si>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</si>
  <si>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</si>
  <si>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</si>
  <si>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</si>
  <si>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</si>
  <si>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</si>
  <si>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</si>
  <si>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</si>
  <si>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</si>
  <si>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</si>
  <si>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</si>
  <si>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</si>
  <si>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</si>
  <si>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</si>
  <si>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</si>
  <si>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</si>
  <si>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</si>
  <si>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</si>
  <si>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</si>
  <si>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</si>
  <si>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</si>
  <si>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</si>
  <si>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</si>
  <si>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Sustenabilitate. Inovare. Bunăstare. Incluziune Socială. Unitate. SIBIU - Strategia 2030</t>
  </si>
  <si>
    <t>AA1</t>
  </si>
  <si>
    <t>Administrație modernă. Creșterea calității proceselor</t>
  </si>
  <si>
    <t>Asisteță pentru formularea propunerii de
politica publica a Municipiului Dragasani si
a principalelor instrumente aplicabile în
fiecare etapa pentru perioada 2020-2024</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</si>
  <si>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</si>
  <si>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</si>
  <si>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</si>
  <si>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</si>
  <si>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Administrație publică locală eficientă pentru cetățeni</t>
  </si>
  <si>
    <t>1. AASOCIAȚIA PROFESIONALĂ NEGUVERNAMENTALĂ DE ASISTENȚA SOCIALA ASSOC - FILIALA VÂLCEA
2. COMUNA MĂCIUCA</t>
  </si>
  <si>
    <t>Justitie si mediere pentru toata lumea/ Law and mediation for everyone</t>
  </si>
  <si>
    <t>Asociația Liga Apărării Drepturilor Colective</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</si>
  <si>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</si>
  <si>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</si>
  <si>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</si>
  <si>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Optimizarea proceselor în concordanță cu Strategia pentru Consolidarea Administrației Publice la nivelul Municipiului Deva</t>
  </si>
  <si>
    <t>Asociația Centrul Pentru Dezvoltare Durabilă Columna</t>
  </si>
  <si>
    <t>Administratie moderna in sprijunul cetatenilor</t>
  </si>
  <si>
    <t>Judetul Botosani</t>
  </si>
  <si>
    <t>Soluții informatice integrate pentru simplificarea procedurilor on-line si reducerea birocrației la nivelul municipiului Râmnicu Vâlcea</t>
  </si>
  <si>
    <t>Municipiul Râmnicu Vâlcea</t>
  </si>
  <si>
    <t>Elaborarea strategiei de dezvoltare durabilă a județului Prahova pentru perioada 2021-2027</t>
  </si>
  <si>
    <t>Sistem informatic integrat de e-administrație pentru îmbunătățirea accesului populației la servicii electronice și simplificare administrativă</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</si>
  <si>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</si>
  <si>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</si>
  <si>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</si>
  <si>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AA 1/29.11.2018          AA 2 /03.04.2019</t>
  </si>
  <si>
    <t>AA 1/ 15.04.2019</t>
  </si>
  <si>
    <t>AA 1/ 01.04.2019</t>
  </si>
  <si>
    <t>AA 1/ 28.03.2019</t>
  </si>
  <si>
    <t xml:space="preserve">AA 1/02.04.2019 </t>
  </si>
  <si>
    <t>AA2/17.04.2019</t>
  </si>
  <si>
    <t>MaraStrategy</t>
  </si>
  <si>
    <t>AA3/15.04.2019</t>
  </si>
  <si>
    <t>AA6/08.04.2019 PRELUNGIRE 6 LUNI</t>
  </si>
  <si>
    <t>Planificare strategică și managementul
performanței în folosul cetățenilor din
județul Harghita prin implementarea CAF
(CAFHR)</t>
  </si>
  <si>
    <t>Județul Harghita</t>
  </si>
  <si>
    <t>IP14/2019
(MySMIS: 
POCA/ 513/1/1 )</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</si>
  <si>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</si>
  <si>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</si>
  <si>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</si>
  <si>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</si>
  <si>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</si>
  <si>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</si>
  <si>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</si>
  <si>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</si>
  <si>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</si>
  <si>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</si>
  <si>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</si>
  <si>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</si>
  <si>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</si>
  <si>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</si>
  <si>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</si>
  <si>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</si>
  <si>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</si>
  <si>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</si>
  <si>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</si>
  <si>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Implementarea unui sistem de informatizare a administrației publice, sistem de management integrat al datelor administraţiei publice şi îmbunătățirea organizării instituționale și a procedurilor la nivelul Municipiului Reşiţa</t>
  </si>
  <si>
    <t>Municpiul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</si>
  <si>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</si>
  <si>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</si>
  <si>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</si>
  <si>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</si>
  <si>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</si>
  <si>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</si>
  <si>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</si>
  <si>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</si>
  <si>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</si>
  <si>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</si>
  <si>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</si>
  <si>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</si>
  <si>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</si>
  <si>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</si>
  <si>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</si>
  <si>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</si>
  <si>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</si>
  <si>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</si>
  <si>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</si>
  <si>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Implementarea unor măsuri și instrumente destinate îmbunătățirii proceselor administrative în cadrul Consiliului Județean Argeș</t>
  </si>
  <si>
    <t>ePAS-eficientizarea Procedurilor Administrative prin Simplificare la Primăria Municipiului Petroșani</t>
  </si>
  <si>
    <t>Municipiul Petroșani</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</si>
  <si>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</si>
  <si>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</si>
  <si>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</si>
  <si>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</si>
  <si>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</si>
  <si>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</si>
  <si>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</si>
  <si>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</si>
  <si>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</si>
  <si>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</si>
  <si>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</si>
  <si>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</si>
  <si>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</si>
  <si>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Lupeni</t>
  </si>
  <si>
    <t>Soluții informatice integrate pentru
simplificarea procedurilor administrative si
reducerea birocrației la nivelul Municipiului
DEJ</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</si>
  <si>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</si>
  <si>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</si>
  <si>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</si>
  <si>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</si>
  <si>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</si>
  <si>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</si>
  <si>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</si>
  <si>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</si>
  <si>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</si>
  <si>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Armonizarea cadrului legislativ pentru implementarea planului de reformă în sănătate</t>
  </si>
  <si>
    <t>Soluții informatice integrate pentru simplificarea procedurilor administrative si reducerea birocrației la nivelul Municipiului Câmpina</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</si>
  <si>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</si>
  <si>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</si>
  <si>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</si>
  <si>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</si>
  <si>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</si>
  <si>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</si>
  <si>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</si>
  <si>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Soluții informatice integrate pentru simplificarea procedurilor administrative și reducerea birocrației la nivelul Municipiului</t>
  </si>
  <si>
    <t>Municipiul Urziceni</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</si>
  <si>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</si>
  <si>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</si>
  <si>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</si>
  <si>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</si>
  <si>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Management al performantei in cadrul Primariei Sectorului 2</t>
  </si>
  <si>
    <t>Servicii publice performante furnizate cetatenilor din Municipiul Caransebes</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</si>
  <si>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</si>
  <si>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</si>
  <si>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</si>
  <si>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</si>
  <si>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</si>
  <si>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</si>
  <si>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</si>
  <si>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AA 1/08.07.2019</t>
  </si>
  <si>
    <t>Soluții informatice integrate pentru simplificarea furnizării serviciilor către cetățeni si mediul de afaceri și optimizarea procedurilor administrative la nivelul Municipiului Râmnicu-Sărat</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</si>
  <si>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</si>
  <si>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</si>
  <si>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</si>
  <si>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</si>
  <si>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</si>
  <si>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</si>
  <si>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</si>
  <si>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</si>
  <si>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</si>
  <si>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</si>
  <si>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</si>
  <si>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</si>
  <si>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</si>
  <si>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</si>
  <si>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</si>
  <si>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</si>
  <si>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</si>
  <si>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</si>
  <si>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</si>
  <si>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</si>
  <si>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</si>
  <si>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</si>
  <si>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</si>
  <si>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</si>
  <si>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</si>
  <si>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</si>
  <si>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</si>
  <si>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</si>
  <si>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</si>
  <si>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</si>
  <si>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</si>
  <si>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</si>
  <si>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</si>
  <si>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</si>
  <si>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</si>
  <si>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</si>
  <si>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</si>
  <si>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</si>
  <si>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</si>
  <si>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</si>
  <si>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</si>
  <si>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</si>
  <si>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</si>
  <si>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</si>
  <si>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</si>
  <si>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Soluții informatice integrate pentru simplificarea procedurilor administrative si reducerea birocrației la nivelul municipiului Onești</t>
  </si>
  <si>
    <t>Municipiul Onești</t>
  </si>
  <si>
    <t>Onești</t>
  </si>
  <si>
    <t>Îmbunatațirea capacitații autoritații publice centrale în domeniul managementului apelor în ceea ce
priveste planificarea, implementarea si raportarea cerințelor europene din domeniul apelor</t>
  </si>
  <si>
    <t xml:space="preserve">ADMINISTRATIA NATIONALA "APELE ROMANE" </t>
  </si>
  <si>
    <t>Dezvoltarea capacității administrative a MCI de implementare a unor acțiuni stabilite în Strategia Națională de Cercetare, Dezvoltare tehnologică și Inovare 2014-2020</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</si>
  <si>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</si>
  <si>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</si>
  <si>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</si>
  <si>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</si>
  <si>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</si>
  <si>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</si>
  <si>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</si>
  <si>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</si>
  <si>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</si>
  <si>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</si>
  <si>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</si>
  <si>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</si>
  <si>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</si>
  <si>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</si>
  <si>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</si>
  <si>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</si>
  <si>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</si>
  <si>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</si>
  <si>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</si>
  <si>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</si>
  <si>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</si>
  <si>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AA 1/09.08.2019 prel 2L</t>
  </si>
  <si>
    <t>Extinderea instrumentelor de management al performanței la nivelul Primăriei Municipiului Galați prin implementarea CAF</t>
  </si>
  <si>
    <t>INSTITUTUL NATIONAL DE CERCETARI ECONOMICE "COSTIN C. KIRITESCU"</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</si>
  <si>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</si>
  <si>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</si>
  <si>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</si>
  <si>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</si>
  <si>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</si>
  <si>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</si>
  <si>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</si>
  <si>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</si>
  <si>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</si>
  <si>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</si>
  <si>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</si>
  <si>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</si>
  <si>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</si>
  <si>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</si>
  <si>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</si>
  <si>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</si>
  <si>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</si>
  <si>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</si>
  <si>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AA1/21.08.2019</t>
  </si>
  <si>
    <t>-</t>
  </si>
  <si>
    <t>Fundamentarea politicii de investiții pentru dezvoltarea socio-economică în perioada 2021-2030</t>
  </si>
  <si>
    <t>Consolidarea funcțiilor de management strategic la nivelul SGG</t>
  </si>
  <si>
    <t>Studii de impact pentru o reglementare mai buna!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</si>
  <si>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</si>
  <si>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</si>
  <si>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</si>
  <si>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</si>
  <si>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</si>
  <si>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</si>
  <si>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</si>
  <si>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</si>
  <si>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</si>
  <si>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</si>
  <si>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</si>
  <si>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</si>
  <si>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</si>
  <si>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</si>
  <si>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</si>
  <si>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</si>
  <si>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</si>
  <si>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</si>
  <si>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</si>
  <si>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</si>
  <si>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</si>
  <si>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</si>
  <si>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</si>
  <si>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</si>
  <si>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</si>
  <si>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</si>
  <si>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</si>
  <si>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</si>
  <si>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</si>
  <si>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AA3 /13.09.2019</t>
  </si>
  <si>
    <t>Optimizarea procesului decizional si al planificării strategice și bugetare la nivelul Consiliului Județean Bihor</t>
  </si>
  <si>
    <t>Municipiul Oradea</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</si>
  <si>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</si>
  <si>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</si>
  <si>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</si>
  <si>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</si>
  <si>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</si>
  <si>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</si>
  <si>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</si>
  <si>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</si>
  <si>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</si>
  <si>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</si>
  <si>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</si>
  <si>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</si>
  <si>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</si>
  <si>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</si>
  <si>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Dezvoltarea capacității instituționale a Ministerul Fondurilor Europene printr-un sistem integrat de management al calității</t>
  </si>
  <si>
    <t>EMOD - Dezvoltarea capacitații instituționale a Agenției Naționale de Integritate pentru eficientizarea fluxurilor interne de lucru si a modului de depunere a declarațiilor de avere si de interese în procesul electoral și annual</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</si>
  <si>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</si>
  <si>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</si>
  <si>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</si>
  <si>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</si>
  <si>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</si>
  <si>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</si>
  <si>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</si>
  <si>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</si>
  <si>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</si>
  <si>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</si>
  <si>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</si>
  <si>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</si>
  <si>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</si>
  <si>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</si>
  <si>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</si>
  <si>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</si>
  <si>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</si>
  <si>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</si>
  <si>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</si>
  <si>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</si>
  <si>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</si>
  <si>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</si>
  <si>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Crearea cadrului strategic si operational
pentru planificarea si reorganizarea la nivel
national si regional a serviciilor de sanatate</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</si>
  <si>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</si>
  <si>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</si>
  <si>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</si>
  <si>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</si>
  <si>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</si>
  <si>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</si>
  <si>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</si>
  <si>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</si>
  <si>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</si>
  <si>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</si>
  <si>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</si>
  <si>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</si>
  <si>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</si>
  <si>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</si>
  <si>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</si>
  <si>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</si>
  <si>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</si>
  <si>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</si>
  <si>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</si>
  <si>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</si>
  <si>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</si>
  <si>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AA2/01.11.2019</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</si>
  <si>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</si>
  <si>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</si>
  <si>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</si>
  <si>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</si>
  <si>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</si>
  <si>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</si>
  <si>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</si>
  <si>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</si>
  <si>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</si>
  <si>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</si>
  <si>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</si>
  <si>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</si>
  <si>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</si>
  <si>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</si>
  <si>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</si>
  <si>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</si>
  <si>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</si>
  <si>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</si>
  <si>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</si>
  <si>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</si>
  <si>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</si>
  <si>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</si>
  <si>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</si>
  <si>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</si>
  <si>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</si>
  <si>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</si>
  <si>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</si>
  <si>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</si>
  <si>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</si>
  <si>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</si>
  <si>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</si>
  <si>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</si>
  <si>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</si>
  <si>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</si>
  <si>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</si>
  <si>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</si>
  <si>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</si>
  <si>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</si>
  <si>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AA4/22.11.2019</t>
  </si>
  <si>
    <t>AA3/25.11.2019</t>
  </si>
  <si>
    <t>AA1/26.11.2019</t>
  </si>
  <si>
    <t>Act adițional nr. 2/27.11.2019 modif fse, bn si cp</t>
  </si>
  <si>
    <t>Îmbunătățirea procesului de reglementare în domeniul transplantului</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</si>
  <si>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</si>
  <si>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</si>
  <si>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</si>
  <si>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</si>
  <si>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</si>
  <si>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</si>
  <si>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</si>
  <si>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</si>
  <si>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</si>
  <si>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</si>
  <si>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</si>
  <si>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</si>
  <si>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</si>
  <si>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</si>
  <si>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</si>
  <si>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</si>
  <si>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</si>
  <si>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Consolidarea capacitaþii instituþionale pentru îmbunataþirea politicilor din domeniul schimbarilor
climatice si adaptarea la efectele schimbarilor climatice</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</si>
  <si>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</si>
  <si>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</si>
  <si>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</si>
  <si>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</si>
  <si>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</si>
  <si>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</si>
  <si>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</si>
  <si>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</si>
  <si>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</si>
  <si>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</si>
  <si>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</si>
  <si>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</si>
  <si>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</si>
  <si>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</si>
  <si>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</si>
  <si>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</si>
  <si>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</si>
  <si>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</si>
  <si>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</si>
  <si>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</si>
  <si>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</si>
  <si>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</si>
  <si>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</si>
  <si>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</si>
  <si>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</si>
  <si>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</si>
  <si>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</si>
  <si>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</si>
  <si>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</si>
  <si>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</si>
  <si>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</si>
  <si>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</si>
  <si>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</si>
  <si>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</si>
  <si>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</si>
  <si>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</si>
  <si>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</si>
  <si>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</si>
  <si>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</si>
  <si>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</si>
  <si>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</si>
  <si>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</si>
  <si>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</si>
  <si>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Ialomita</t>
  </si>
  <si>
    <t>Strategie inteligentă bazată pe integrare și urbanizare smart - SIBIU SMART</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</si>
  <si>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</si>
  <si>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</si>
  <si>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</si>
  <si>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</si>
  <si>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</si>
  <si>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REFORMA - Investiții pentru creșterea
capacitații instituționale și eficienta serviciilor administrației publice locale</t>
  </si>
  <si>
    <t>AA nr.3/07.05.2020 prelungire si modif fse, bn si cp</t>
  </si>
  <si>
    <t>Servicii publice partajate digitalizate -
Continuarea simplificarii procedurilor
administrative si reducerea birocratiei
pentru cetateni in Municipiul Giurgiu
(SEPAR)</t>
  </si>
  <si>
    <t>Simplificarea procedurilor administrative si
elaborare SIDU si PMUD la nivelul
Municipiului Râmnicu Vâlcea</t>
  </si>
  <si>
    <t>Consolidarea capacitații instituționale si eficientizarea activitații la nivelul Municipiului Drobeta Turnu
Severin</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</si>
  <si>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</si>
  <si>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</si>
  <si>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</si>
  <si>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</si>
  <si>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</si>
  <si>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</si>
  <si>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</si>
  <si>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</si>
  <si>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</si>
  <si>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</si>
  <si>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</si>
  <si>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</si>
  <si>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</si>
  <si>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</si>
  <si>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Organizarea unei Planificări Echilibrate a Nevoilor Municipiului Reșița - O.P.E.N. Municipiul Reșița</t>
  </si>
  <si>
    <t>Universitatea Babes Bolyai</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</si>
  <si>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</si>
  <si>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</si>
  <si>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</si>
  <si>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</si>
  <si>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</si>
  <si>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</si>
  <si>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</si>
  <si>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</si>
  <si>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</si>
  <si>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</si>
  <si>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</si>
  <si>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</si>
  <si>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Servicii publice partajate eficiente -
Continuarea simplificării procedurilor administrative și reducerea birocrației pentru cetățeni prin
digitalizarea serviciilor publice partajate în Municipiul Caransebeș (SPRE)</t>
  </si>
  <si>
    <t>Acțiuni pentru o administrație publică deschisă și receptivă la soluții inovatoare</t>
  </si>
  <si>
    <t>Municipiul Orșova</t>
  </si>
  <si>
    <t>Orsova</t>
  </si>
  <si>
    <t>Planificare Strategică - Municipiul Vaslui</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</si>
  <si>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</si>
  <si>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</si>
  <si>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</si>
  <si>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</si>
  <si>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Dambovita</t>
  </si>
  <si>
    <t>Consolidarea capacității administrative prin adoptarea de instrumente ale planificării strategice pentru buna gestiune financiară a proceselor dezvoltării locale în Municipiul Dej</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</si>
  <si>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</si>
  <si>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</si>
  <si>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</si>
  <si>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</si>
  <si>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</si>
  <si>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</si>
  <si>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</si>
  <si>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Digitalizarea serviciilor sociale și medicale
aflate în competenta Consiliului Județean Brașov</t>
  </si>
  <si>
    <t>DGASPC BRASOV</t>
  </si>
  <si>
    <t>Municipiul Câmpulung Moldovenesc</t>
  </si>
  <si>
    <t>Planificare strategică și simplificarea procedurilor administrative la nivelul Municipiului Câmpulung Moldovenesc</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</si>
  <si>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</si>
  <si>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</si>
  <si>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</si>
  <si>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</si>
  <si>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</si>
  <si>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</si>
  <si>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</si>
  <si>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Planificare strategică și simplificarea procedurilor administrative la nivelul Municipiului Fălticeni</t>
  </si>
  <si>
    <t>Municipiul Fălticeni</t>
  </si>
  <si>
    <t>Fălticeni</t>
  </si>
  <si>
    <t>AA1/03.06.2020 prelungire</t>
  </si>
  <si>
    <t>AA4/02.03.2020              AA5/02.06.2020 durata, VTE, FSE, UE, CP</t>
  </si>
  <si>
    <t>Proceduri simplificate de reducere a birocrației pentru cetățeni</t>
  </si>
  <si>
    <t>Municipiul Odorheiu Secuiesc</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</si>
  <si>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</si>
  <si>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</si>
  <si>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</si>
  <si>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</si>
  <si>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</si>
  <si>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Judetul Suceava</t>
  </si>
  <si>
    <t>Simplificarea procedurilor administrative la nivelul Municipiului Vatra Dornei</t>
  </si>
  <si>
    <t>Municipiul Vatra Dornei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</si>
  <si>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</si>
  <si>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</si>
  <si>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</si>
  <si>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</si>
  <si>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</si>
  <si>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</si>
  <si>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Accesul direct al cetățeanului la serviciile socio-medicale ale Municipiului Baia Mare</t>
  </si>
  <si>
    <t>Planificare strategică și simplificare administrativă pentru cetățenii municipiului Codlea</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</si>
  <si>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</si>
  <si>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</si>
  <si>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</si>
  <si>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</si>
  <si>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</si>
  <si>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</si>
  <si>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Educația - un pas înainte!</t>
  </si>
  <si>
    <t>Planificare strategică și digitalizare urbană
pentru municipiul Roman</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</si>
  <si>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</si>
  <si>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</si>
  <si>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</si>
  <si>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</si>
  <si>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</si>
  <si>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</si>
  <si>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</si>
  <si>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</si>
  <si>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Planificare strategica si accesibilizare a serviciilor oferite de administrația locală în municipiul Carei</t>
  </si>
  <si>
    <t>Bacău Smart County</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</si>
  <si>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</si>
  <si>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</si>
  <si>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Măsuri și instrumente pentru planificare strategica si simplificare a procedurilor administrative în Municipiul Câmpia Turzii</t>
  </si>
  <si>
    <t>Municipiul Câmpia Turzii</t>
  </si>
  <si>
    <t>Câmpia Turzii</t>
  </si>
  <si>
    <t>eTurda – Debirocratizare prin digitalizare în administrația publică</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</si>
  <si>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</si>
  <si>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</si>
  <si>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Sistem integrat de management al fluxurilor interne si furnizarea de servicii partajate către cetățeni</t>
  </si>
  <si>
    <t>Implementare soluții informatice integrate pentru simplificarea procedurilor administrative vizând competențele partajate, în cadrul Primăriei Municipiului Huși</t>
  </si>
  <si>
    <t>Municipiul Pașcani</t>
  </si>
  <si>
    <t>Soluții integrate, mecanisme și procedure pentru fundamentarea deciziilor, planificarea strategică și simplificarea procedurilor administrative la nivelul Municipiului Pașcani</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</si>
  <si>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</si>
  <si>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</si>
  <si>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</si>
  <si>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</si>
  <si>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</si>
  <si>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</si>
  <si>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</si>
  <si>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</si>
  <si>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</si>
  <si>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</si>
  <si>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</si>
  <si>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</si>
  <si>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</si>
  <si>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</si>
  <si>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</si>
  <si>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</si>
  <si>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</si>
  <si>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</si>
  <si>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</si>
  <si>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</si>
  <si>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</si>
  <si>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</si>
  <si>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</si>
  <si>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</si>
  <si>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</si>
  <si>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</si>
  <si>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</si>
  <si>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AA1/23.07.2020 buget</t>
  </si>
  <si>
    <t>COMPAS - Competitivitate si Operativitate prin investiții în Măsuri pentru Proceduri Administrative Simplificate</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</si>
  <si>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</si>
  <si>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</si>
  <si>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</si>
  <si>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</si>
  <si>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</si>
  <si>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</si>
  <si>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</si>
  <si>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</si>
  <si>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</si>
  <si>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</si>
  <si>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</si>
  <si>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</si>
  <si>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</si>
  <si>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</si>
  <si>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</si>
  <si>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</si>
  <si>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</si>
  <si>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</si>
  <si>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</si>
  <si>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</si>
  <si>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AGENTIA NATIONALA PENTRU PLATI SI INSPECTIE SOCIALA</t>
  </si>
  <si>
    <t>Casa Națională de Pensii Publice</t>
  </si>
  <si>
    <t>Eficientizarea activității CNPP pentru determinarea legislației aplicabile lucrătorilor migranți, la nivelul sistemului public de pensii din România</t>
  </si>
  <si>
    <t>Stabilirea de Valori Limita de Emisie
diferențiate (VLE) pentru apele uzate din surse industriale și agro-zootehnice din România</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</si>
  <si>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</si>
  <si>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</si>
  <si>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</si>
  <si>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</si>
  <si>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</si>
  <si>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</si>
  <si>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</si>
  <si>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</si>
  <si>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</si>
  <si>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AA2/21.08.2020 durata si ue si cb</t>
  </si>
  <si>
    <t>AA1/24.08.2020 durata</t>
  </si>
  <si>
    <t>AA1/21.08.2020 durata</t>
  </si>
  <si>
    <t>Servicii de consiliere juridica pentru victime ale unor abuzuri sau nereguli din administratie si justitie</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</si>
  <si>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</si>
  <si>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</si>
  <si>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</si>
  <si>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Creșterea capacității administrative a MFP și a instituțiilor subordonate în vederea îmbunătățirii interacțiunii cetățenilor și mediului de afaceri pentru obținerea de documente din arhiva instituției</t>
  </si>
  <si>
    <t>Creșterea capacității administrative a MFP și a instituțiilor subordonate în vederea îmbunătățirii interacțiunii cetățenilor și mediului de afaceri pentru obținerea de servicii electronice extinse prin portalul ANAF</t>
  </si>
  <si>
    <t>AP2/11i/2.1</t>
  </si>
  <si>
    <t>AP2/11i/2.2</t>
  </si>
  <si>
    <t>AP2/11i/2.3</t>
  </si>
  <si>
    <t>Dezvoltarea unor instrumentate de analiză și intervenție la nivel comunitar pentru perioada de programare 2021-2027</t>
  </si>
  <si>
    <t>Școala Națională de Studii Politice și Administrative</t>
  </si>
  <si>
    <t>AA1/17.07.2020 durata, ue, cb                                              AA2/21.09.2020 durata</t>
  </si>
  <si>
    <t xml:space="preserve">AA1/02.07.2020 prelungire durata                  AA2/22.09.2020 durata </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</si>
  <si>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</si>
  <si>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</si>
  <si>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</si>
  <si>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</si>
  <si>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</si>
  <si>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</si>
  <si>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</si>
  <si>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</si>
  <si>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</si>
  <si>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</si>
  <si>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</si>
  <si>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</si>
  <si>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</si>
  <si>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</si>
  <si>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</si>
  <si>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</si>
  <si>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AA 1/18.05.2020 prelungire 3 luni  AA2/5.10.2020 durata</t>
  </si>
  <si>
    <t>Management de calitate si performanță în cadrul MEEMA, pentru reducerea poverii administrative si dezvoltarea imm-urilor inovatoare</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</si>
  <si>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</si>
  <si>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</si>
  <si>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</si>
  <si>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</si>
  <si>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</si>
  <si>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</si>
  <si>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</si>
  <si>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</si>
  <si>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</si>
  <si>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</si>
  <si>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</si>
  <si>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</si>
  <si>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</si>
  <si>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</si>
  <si>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AA1/3.12.2020 durata</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</si>
  <si>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</si>
  <si>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</si>
  <si>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</si>
  <si>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</si>
  <si>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</si>
  <si>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</si>
  <si>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Transparență si competență în sectorul public</t>
  </si>
  <si>
    <t>UNIVERSITATEA BABES
BOLYAI</t>
  </si>
  <si>
    <t xml:space="preserve">IP 18/2020 (MYSMIS: POCA/831/1/2) </t>
  </si>
  <si>
    <t>AA1/11.03.2020 AA2/9.12.2020 durata</t>
  </si>
  <si>
    <t>AA1/14.12.2020 durata</t>
  </si>
  <si>
    <t>Autoritatea Navală Română</t>
  </si>
  <si>
    <t>Creșterea capacității administrative a Autorității Navale Române pentru reducerea birocrației pentru cetățeni și mediul de afaceri</t>
  </si>
  <si>
    <t>Spre guvernarea digitală. Starea civilă electronică în cadrul Arhivelor Naționale ale României (eANR)</t>
  </si>
  <si>
    <t>IP20/2020 (MySMIS: POCA/897/1/1)</t>
  </si>
  <si>
    <t>Dezvoltarea unui Cadru Strategic Integrat în domeniul protecției sociale și ocupării forței de muncă</t>
  </si>
  <si>
    <t>Autoritatea pentru Administrarea Activelor Statului</t>
  </si>
  <si>
    <t>Sistem integrat de management pentru administrarea eficientă a activelor statului</t>
  </si>
  <si>
    <t>Oficiul Român pentru Drepturile de Autor</t>
  </si>
  <si>
    <t>eORDA – simplificarea procedurilor administrative și facilitarea serviciilor publice în mediul digital, în domeniul drepturilor de autor și conexe</t>
  </si>
  <si>
    <t>Autoritatea Națională pentru Protecția Consumatorilor</t>
  </si>
  <si>
    <t>Reducerea poverii administrative pentru cetățeni și mediul de afaceri în domeniul protecției consumatorilor</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</si>
  <si>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</si>
  <si>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</si>
  <si>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Ministerul Culturii</t>
  </si>
  <si>
    <t>Viziune strategică și coerentă pentru sectorul cultural</t>
  </si>
  <si>
    <t>INCFC</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</si>
  <si>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</si>
  <si>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</si>
  <si>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</si>
  <si>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</si>
  <si>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Planificare strategică privind consolidarea rezilienţei în faţa dezinformării şi a ameninţărilor de tip hibrid</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</si>
  <si>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</si>
  <si>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</si>
  <si>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</si>
  <si>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</si>
  <si>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</si>
  <si>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</si>
  <si>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</si>
  <si>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</si>
  <si>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</si>
  <si>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</si>
  <si>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</si>
  <si>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</si>
  <si>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AA1/09.11.2018; AA2/09.08.2019;
AA3/18.12.2019   AA4/21.09.2020 durata AA5/22.01.2021 buget</t>
  </si>
  <si>
    <t>AA1/25.01.2021 durata</t>
  </si>
  <si>
    <t xml:space="preserve">                                                 AA1/08.12.2016; AA2/28.04.2017; AA3/18.01.2018; AA4/08.04.2019; AA5/19.03.2020; AA6/27.07.2020 durata; AA7/3.02.2021 durata si buget</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</si>
  <si>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</si>
  <si>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</si>
  <si>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</si>
  <si>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</si>
  <si>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</si>
  <si>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 xml:space="preserve">IP19/2020 (MySMIS: POCA/837/2/3) </t>
  </si>
  <si>
    <t>AP2/11i /2.3</t>
  </si>
  <si>
    <t>AA1/12.02.2021 durata</t>
  </si>
  <si>
    <t>AA2/19.09.2019 AA3/22.02.2021 durata, ue, cb</t>
  </si>
  <si>
    <t>AA1/25.02.2021 durata</t>
  </si>
  <si>
    <t>Autoritatea Națională pentru Restituirea Proprietăților</t>
  </si>
  <si>
    <t>Creșterea capacității administrative a ANRP în vederea eficientizării procesului de restituire a proprietăților</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</si>
  <si>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</si>
  <si>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</si>
  <si>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</si>
  <si>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</si>
  <si>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</si>
  <si>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</si>
  <si>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AA1/16.03.2021 durata</t>
  </si>
  <si>
    <t>E-ARM - Sistem de implementare și gestionare a bazelor de date din domeniul arme și explozivi și extindere sistemului bazei naționale de date precursori de explozivi</t>
  </si>
  <si>
    <t>Inspectoratul General al Poliției Române</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</si>
  <si>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</si>
  <si>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</si>
  <si>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</si>
  <si>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</si>
  <si>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</si>
  <si>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</si>
  <si>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</si>
  <si>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</si>
  <si>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</si>
  <si>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AA1/16.04.2021 durata</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</si>
  <si>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</si>
  <si>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</si>
  <si>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</si>
  <si>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</si>
  <si>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</si>
  <si>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</si>
  <si>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AA1/24.05.2021 durata</t>
  </si>
  <si>
    <t>Omdrap nr. 5844/03.10.2018   OMDRAP/11.12.2020 Ordin 760/3.06.2021 durata</t>
  </si>
  <si>
    <t>AA1/3.06.2021 durata</t>
  </si>
  <si>
    <t>AA1/2.06.2021 durata</t>
  </si>
  <si>
    <t>AA1/22.08.2019   AA2/11.06.2021durata</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</si>
  <si>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</si>
  <si>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</si>
  <si>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</si>
  <si>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</si>
  <si>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</si>
  <si>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</si>
  <si>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AA1/29.06.2020;  AA2/23.10.2020 ue, cb ; AA3/23.06.2021 durata</t>
  </si>
  <si>
    <t>Ordin nr. 794/14.06.2021 durata si buget</t>
  </si>
  <si>
    <t>AA1/1.07.2021 durata</t>
  </si>
  <si>
    <t>AA1/28.10.2019  AA2/1.07.2021 durata si ue, bn, cb, cp</t>
  </si>
  <si>
    <t>OMDRAP nr. 3247/25.11.2019/Actul adițional nr.2/25.11.2019, Omdlpd din 14.09.2020 durata si buget; Ordin 339/9/03/2021 buget; Ordin 973/8.07.2021 durata si buget</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</si>
  <si>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</si>
  <si>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</si>
  <si>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</si>
  <si>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</si>
  <si>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</si>
  <si>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</si>
  <si>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AA1/22.02.2021 AA2/5.08.2021 durata si ue, bn, cb</t>
  </si>
  <si>
    <t>AA6 /16.07.19   AA8/26.26.2020 Fonduri EU si CB                   AA9/10.08.2021 durata</t>
  </si>
  <si>
    <t>ASOCIATIA PENTRU IMPLEMENTAREA DEMOCRATIEI (pana pe 29 martie 2021)</t>
  </si>
  <si>
    <t>AA1/12.08.2021 durata</t>
  </si>
  <si>
    <t>IP 21/2021 (MySMIS: POCA/934/1/4)</t>
  </si>
  <si>
    <t>Dezvoltarea competențelor personalului
implicat în procesul de achiziții publice în administrația publică din România</t>
  </si>
  <si>
    <t>AA1/11.06.2021 durata AA2/23.08.2021 durata</t>
  </si>
  <si>
    <t>AA1/23.08.2021 durata</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</si>
  <si>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</si>
  <si>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</si>
  <si>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</si>
  <si>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</si>
  <si>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</si>
  <si>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</si>
  <si>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</si>
  <si>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</si>
  <si>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</si>
  <si>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</si>
  <si>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</si>
  <si>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</si>
  <si>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</si>
  <si>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AA1/12.08.2019               AA2/18.09.2020 durata si diminuare buget AA3/16.03.2021 durata AA4/17.09.2021 durata</t>
  </si>
  <si>
    <t>AA1/30.08.2021 prorata (ue, cb, bn)</t>
  </si>
  <si>
    <t>AA1/27.09.2021 durata</t>
  </si>
  <si>
    <t>AA1/29.09.2021 durata si ub, cb</t>
  </si>
  <si>
    <t>AA2/30.09.2020 durata, ue, cb                                AA3/4.10.2021 durata</t>
  </si>
  <si>
    <t>AA1/11.02.2021 durata AA2/7.10.2021 durata</t>
  </si>
  <si>
    <t>Integritatea, etica și transparența - condiție esențială pentru o administrație eficientă</t>
  </si>
  <si>
    <t>Integritate și transparență</t>
  </si>
  <si>
    <t>Sprijin pentru implementarea de instrumente anticorupție în administrația Județului Botoșani</t>
  </si>
  <si>
    <t>Județul Botoșani</t>
  </si>
  <si>
    <t xml:space="preserve"> Botoșani</t>
  </si>
  <si>
    <t>AA1/12.10.2021 durata</t>
  </si>
  <si>
    <t>Județul Satu Mare</t>
  </si>
  <si>
    <t>Creșterea transparenței, eticii și integrității în
administrația publică din județul Satu Mare</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</si>
  <si>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</si>
  <si>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</si>
  <si>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</si>
  <si>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</si>
  <si>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</si>
  <si>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</si>
  <si>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</si>
  <si>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</si>
  <si>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</si>
  <si>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</si>
  <si>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</si>
  <si>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Creșterea transparenței, eticii și integrității la nivelul județului Constanța</t>
  </si>
  <si>
    <t>Direcția Generală Anticorupție/ Unitatea de implementare a proiectelor</t>
  </si>
  <si>
    <t>AA1/26.10.2021 buget</t>
  </si>
  <si>
    <t>AA4 /17.02.2020 AA5/20.10.2020 durata, buget                    AA6/9.06.2021 durata  AA7/27.10.2021 durata</t>
  </si>
  <si>
    <t>AA1/09.03.2021 durata   AA2/27.10.2021 durata</t>
  </si>
  <si>
    <t>Implementarea măsurilor anticorupție la nivelul
UAT Municipiul Hunedoara</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</si>
  <si>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</si>
  <si>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</si>
  <si>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</si>
  <si>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</si>
  <si>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</si>
  <si>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Sighetu Marmației</t>
  </si>
  <si>
    <t>Municipiul Miercurea Ciuc</t>
  </si>
  <si>
    <t>Prevenirea corupției la Primăria Miercurea Ciuc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</si>
  <si>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</si>
  <si>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</si>
  <si>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</si>
  <si>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</si>
  <si>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</si>
  <si>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</si>
  <si>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</si>
  <si>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Măsuri pentru creșterea transparenței, eticii și integrității la Primăria Municipiului Brașov</t>
  </si>
  <si>
    <t>AA1/10.01.2020                       AA2/29.09.2020 durata si buget AA3/12.04.2021 durata  AA4/3.11.2021 durata</t>
  </si>
  <si>
    <t>AA1/3.11.2021 durata si buget</t>
  </si>
  <si>
    <t>COMPATRIOT - COmunitate iMPlicAtă împoTRIva cOrupȚiei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</si>
  <si>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</si>
  <si>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</si>
  <si>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AA1/5.11.2021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</si>
  <si>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</si>
  <si>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</si>
  <si>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</si>
  <si>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AA1/26.05.2020 durata AA3/17.05.2021 durata AA4/15.11.2021 durata</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</si>
  <si>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</si>
  <si>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</si>
  <si>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</si>
  <si>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</si>
  <si>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</si>
  <si>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</si>
  <si>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</si>
  <si>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</si>
  <si>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</si>
  <si>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</si>
  <si>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</si>
  <si>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</si>
  <si>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</si>
  <si>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</si>
  <si>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</si>
  <si>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</si>
  <si>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</si>
  <si>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</si>
  <si>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</si>
  <si>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</si>
  <si>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</si>
  <si>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</si>
  <si>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</si>
  <si>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</si>
  <si>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</si>
  <si>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</si>
  <si>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</si>
  <si>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</si>
  <si>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</si>
  <si>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</si>
  <si>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</si>
  <si>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</si>
  <si>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</si>
  <si>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</si>
  <si>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</si>
  <si>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</si>
  <si>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</si>
  <si>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</si>
  <si>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</si>
  <si>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</si>
  <si>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</si>
  <si>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</si>
  <si>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</si>
  <si>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</si>
  <si>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</si>
  <si>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</si>
  <si>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</si>
  <si>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Servicii sociale pentru fiecare vârstnic – pachet de achiziții de servicii în fiecare comunitate</t>
  </si>
  <si>
    <t>Acces egal la educatie pentru minoritațile
etnice din România</t>
  </si>
  <si>
    <t xml:space="preserve">AA1/24.11.2021 durata si buget </t>
  </si>
  <si>
    <t>AA1/26.10.2021 durata AA2/26.11.2021 durata</t>
  </si>
  <si>
    <t xml:space="preserve"> Județul Dolj</t>
  </si>
  <si>
    <t>Pașcani</t>
  </si>
  <si>
    <t xml:space="preserve">Municipiul Târnăveni </t>
  </si>
  <si>
    <t>Piatra Neamț</t>
  </si>
  <si>
    <t>Vrancea</t>
  </si>
  <si>
    <t>AA1/6.12.2021 durată</t>
  </si>
  <si>
    <t>MINISTERUL ECONOMIEI</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</si>
  <si>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</si>
  <si>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</si>
  <si>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</si>
  <si>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</si>
  <si>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</si>
  <si>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AA1/11.06.2021 durata AA2/9.12.2021 durata</t>
  </si>
  <si>
    <t>AA1/23.12.2020 durata AA2/9.12.2021 durata</t>
  </si>
  <si>
    <t>AA1/26.11.2020 durata AA2/9.12.2021 durata</t>
  </si>
  <si>
    <t>Ministerul Muncii și Solidarității Sociale</t>
  </si>
  <si>
    <t>AA1/15.12.2021 durata</t>
  </si>
  <si>
    <t>AA1/13.12.2021 durata, buget (ue, cb)</t>
  </si>
  <si>
    <t>RISE - cReștem Integritatea, tranSparența și Etica în administrația publică locală!</t>
  </si>
  <si>
    <t>Direcția Generală
Anticorupție</t>
  </si>
  <si>
    <t>Integritate și responsabilitate în administrația
publică arădeană</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</si>
  <si>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</si>
  <si>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</si>
  <si>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AA2/16.12.2021 durata, ue bn</t>
  </si>
  <si>
    <t>Creșterea transparenței, eticii și integrității în cadrul UAT Municipiul Carei</t>
  </si>
  <si>
    <t>Etică și integritate în municipiul Marghita</t>
  </si>
  <si>
    <t>AA1/20.12.2021 durata</t>
  </si>
  <si>
    <t>Prevenirea corupției prin implementarea de sisteme de management, la nivelul Municipiului Urziceni</t>
  </si>
  <si>
    <t>Acțiuni de conștientizare pentru transparența și consolidarea integrității la nivelul U.A.T. Municipiul Orăștie</t>
  </si>
  <si>
    <t>Ministerul Antreprenoriatului și
Turismului</t>
  </si>
  <si>
    <t>AA1/21.12.2021 durata</t>
  </si>
  <si>
    <t>Municipiul Galați</t>
  </si>
  <si>
    <t>Eficiență și eficacitate în administrația publică
locală prin integritate</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</si>
  <si>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</si>
  <si>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</si>
  <si>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</si>
  <si>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</si>
  <si>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</si>
  <si>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AA1/22.12.2021 durata</t>
  </si>
  <si>
    <t>AA1/23.12.2021, durata, ue, cb</t>
  </si>
  <si>
    <t>AA1/23.12.2021</t>
  </si>
  <si>
    <t>FEPEAJU - Formare eficientă pentru practici etice, administrative și judiciare unitare</t>
  </si>
  <si>
    <t xml:space="preserve">IP22/2021 (MySMIS: POCA/945/2/3) </t>
  </si>
  <si>
    <t>AA1/05.05.2020 suspendare proiect 2 luni;                                    Notificare nr.8/23.12.2021 prelungire durata 2 luni</t>
  </si>
  <si>
    <t>AA1/27.12.2021 durata si ue, cb</t>
  </si>
  <si>
    <t>Extinderea și îmbunătățirea modalităților de
prevenire a corupției la nivelul UAT-Județul Tulcea</t>
  </si>
  <si>
    <t>Județul Tulcea</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</si>
  <si>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</si>
  <si>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</si>
  <si>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</si>
  <si>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</si>
  <si>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</si>
  <si>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</si>
  <si>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</si>
  <si>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Ordin modificare nr. 49/12.01.2022 durata si ue, cb</t>
  </si>
  <si>
    <t>AA3/27.09.2019                                     AA4/22.09.2020 durata AA5/14.01.2022 durata si buget</t>
  </si>
  <si>
    <t>AA1/16.11.2020 durata             AA2/18.01.2022 durata</t>
  </si>
  <si>
    <t>Județul Hunedoara</t>
  </si>
  <si>
    <t>Etică și integritate prin prevenirea și
combaterea corupției din administrația publică a Județului Hunedoara</t>
  </si>
  <si>
    <t>Măsuri integrate pentru prevenirea corupției şi
creşterea gradului de transparenţă la nivelul Municipiului Făgăraş</t>
  </si>
  <si>
    <t>Făgăraș</t>
  </si>
  <si>
    <t>AA1/26.05.2021 durata AA2/13.08.2021 (ue, cb, bn)                        AA3/28.01.2022 durata</t>
  </si>
  <si>
    <t>AA1/7.09.2021 durata AA2/28.01.2022 durata</t>
  </si>
  <si>
    <t>AA1/27.01.2022 durata</t>
  </si>
  <si>
    <t>Creșterea transparenței, eticii și integrității în
cadrul Consiliului Județean Ialomița și a instituțiilor subordonate prin implementarea măsurilor
integrate de prevenire a corupției</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</si>
  <si>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</si>
  <si>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</si>
  <si>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</si>
  <si>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</si>
  <si>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</si>
  <si>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</si>
  <si>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</si>
  <si>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</si>
  <si>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</si>
  <si>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</si>
  <si>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</si>
  <si>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</si>
  <si>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</si>
  <si>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</si>
  <si>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</si>
  <si>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</si>
  <si>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</si>
  <si>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</si>
  <si>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</si>
  <si>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</si>
  <si>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</si>
  <si>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</si>
  <si>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</si>
  <si>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</si>
  <si>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Continuarea consolidării si a eficientizării sistemului național de recuperare a creanțelor provenite din infracțiuni</t>
  </si>
  <si>
    <t>MINISTERUL ENERGIEI</t>
  </si>
  <si>
    <t>AA1/19.08.2021 durata  AA2/10.03.2022 durata</t>
  </si>
  <si>
    <t>AA1/10.03.2022 durata</t>
  </si>
  <si>
    <t>Îmbunătățirea capacității administrative locale privind dezvoltarea, implementarea și promovarea măsurilor anticorupție</t>
  </si>
  <si>
    <t>NU corupție, DA integritate!</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</si>
  <si>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</si>
  <si>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</si>
  <si>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</si>
  <si>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</si>
  <si>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</si>
  <si>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</si>
  <si>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</si>
  <si>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Ecosistem digital interconectat și integrat in cadrul ITI Tulcea - UAT Comuna Greci</t>
  </si>
  <si>
    <t xml:space="preserve"> Greci</t>
  </si>
  <si>
    <t>Comuna Istria</t>
  </si>
  <si>
    <t>Ecosistem digital interconectat și integrat in
cadrul ITI Tulcea - UAT Comuna Istria</t>
  </si>
  <si>
    <t>Istria</t>
  </si>
  <si>
    <t>Comuna Nufăru</t>
  </si>
  <si>
    <t>Ecosistem digital interconectat și integrat in
cadrul ITI Tulcea - UAT Comuna Nufăru</t>
  </si>
  <si>
    <t>Nufăru</t>
  </si>
  <si>
    <t>Comuna Văcăreni</t>
  </si>
  <si>
    <t>Ecosistem digital interconectat și integrat în
cadrul ITI Tulcea - UAT Comuna Văcăreni</t>
  </si>
  <si>
    <t>Văcăreni</t>
  </si>
  <si>
    <t>Comuna Luncavița</t>
  </si>
  <si>
    <t>Ecosistem digital interconectat și integrat in
cadrul ITI Tulcea - UAT Comuna Luncavița</t>
  </si>
  <si>
    <t>Luncavița</t>
  </si>
  <si>
    <t>Ecosistem digital instituțional pentru eficientizarea activității administrației publice la nivelul Consiliului Județean Ialomița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</si>
  <si>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</si>
  <si>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</si>
  <si>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</si>
  <si>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</si>
  <si>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</si>
  <si>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</si>
  <si>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</si>
  <si>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</si>
  <si>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</si>
  <si>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</si>
  <si>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</si>
  <si>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</si>
  <si>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</si>
  <si>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AA1/21.03.2022 durata</t>
  </si>
  <si>
    <t>AA1/17.05.2021 durata AA2/16.08.2021 neelig AA3/22.03.2022 durata</t>
  </si>
  <si>
    <t>AA3/20.11.2019 prelungire   AA4/25.09.2020 durata  AA5/9.06.2021 durata si buget                  AA6/21.03.2022 durata</t>
  </si>
  <si>
    <t>Comuna Maliuc</t>
  </si>
  <si>
    <t>Ecosistem digital interconectat și integrat in cadrul ITI Tulcea - UAT Maliuc</t>
  </si>
  <si>
    <t>Maliuc</t>
  </si>
  <si>
    <t>Comuna Beștepe</t>
  </si>
  <si>
    <t>Ecosistem digital interconectat și integrat in cadrul ITI Tulcea - UAT Beștepe</t>
  </si>
  <si>
    <t>Beștepe</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</si>
  <si>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</si>
  <si>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</si>
  <si>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</si>
  <si>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</si>
  <si>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</si>
  <si>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Comuna Mihai Viteazu</t>
  </si>
  <si>
    <t>Ecosistem digital interconectat si integrat in
cadrul ITI Tulcea - UAT Comuna Mihai Viteazu</t>
  </si>
  <si>
    <t xml:space="preserve"> Mihai Viteazu</t>
  </si>
  <si>
    <t>Ordin 391 /18.03.2021  Ordin 504/1.04.2022 durata</t>
  </si>
  <si>
    <t>AA1/14.07.2020 prelungire, diminuare AA2/1.09.2021 durata   AA3/5.04.2022 durata</t>
  </si>
  <si>
    <t>AA1/22.03.2021 durata, buget            AA2/1.04.2022 durata</t>
  </si>
  <si>
    <t>AA2/20.07.2021 buget   AA3/4.04.2022 durata</t>
  </si>
  <si>
    <t>AA1/5.04.2022 durata si neeligibil</t>
  </si>
  <si>
    <t>Sectorul 6 al municipiului București</t>
  </si>
  <si>
    <t>Vorbim deschis despre corupție și integritate publică! Primăria sectorului 6, o instituție cu sisteme anticorupție implementate și funcționale</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</si>
  <si>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</si>
  <si>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</si>
  <si>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</si>
  <si>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</si>
  <si>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</si>
  <si>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</si>
  <si>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</si>
  <si>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</si>
  <si>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</si>
  <si>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</si>
  <si>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</si>
  <si>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</si>
  <si>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Sisteme și standarde comune în administrația publică locală a Municipiului Făgăraş</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</si>
  <si>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</si>
  <si>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</si>
  <si>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</si>
  <si>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</si>
  <si>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</si>
  <si>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</si>
  <si>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</si>
  <si>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</si>
  <si>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</si>
  <si>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</si>
  <si>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</si>
  <si>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Administrație eficientă prin implementarea de
măsuri de digitalizare la nivelul Comunei Chilia Veche, Jud. Tulcea</t>
  </si>
  <si>
    <t>Comuna Chilia Veche</t>
  </si>
  <si>
    <t xml:space="preserve"> Chilia Veche</t>
  </si>
  <si>
    <t>Simplificarea procedurilor administrative în
domeniul competențelor partajate, la nivelul Municipiului Hunedoara</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</si>
  <si>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</si>
  <si>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</si>
  <si>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</si>
  <si>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</si>
  <si>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</si>
  <si>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</si>
  <si>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</si>
  <si>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</si>
  <si>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</si>
  <si>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</si>
  <si>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Comuna Sfântu Gheorghe</t>
  </si>
  <si>
    <t>Planificare strategică și simplificarea
procedurilor administrative la nivelul UAT Comuna Sfântu Gheorghe, Jud. Tulcea</t>
  </si>
  <si>
    <t xml:space="preserve"> Sfântu Gheorghe</t>
  </si>
  <si>
    <t>Instrumente de management al performanței și proceduri administrative simplificate pentru competențele exclusive la nivelul Municipiului Câmpulung Moldovenesc</t>
  </si>
  <si>
    <t>Ecosistem digital interconectat și integrat in
cadrul UAT Municipiul Alexandria</t>
  </si>
  <si>
    <t xml:space="preserve"> Alexandria</t>
  </si>
  <si>
    <t>MINISTERUL ANTREPRENORIATULUI ȘI TURISMULUI</t>
  </si>
  <si>
    <t>AA1/28.06.2021 durata  AA2/11.04.2022 durata</t>
  </si>
  <si>
    <t>Județul Covasna</t>
  </si>
  <si>
    <t>eCovasna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</si>
  <si>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</si>
  <si>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</si>
  <si>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</si>
  <si>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</si>
  <si>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Babadag</t>
  </si>
  <si>
    <t>Management performant și proceduri simplificate pentru competențele exclusive la nivelul Municipiului Vatra Dornei</t>
  </si>
  <si>
    <t>Comuna Jurilovca</t>
  </si>
  <si>
    <t>Investiții pentru optimizarea proceselor și
creșterea calității serviciilor administrației publice locale din Comuna Jurilovca, Jud. Tulcea</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</si>
  <si>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</si>
  <si>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</si>
  <si>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</si>
  <si>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</si>
  <si>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Investiții în consolidarea capacității
administrației publice a UAT Comuna Pardina, Jud. Tulcea</t>
  </si>
  <si>
    <t>Comuna Pardina</t>
  </si>
  <si>
    <t>Pardina</t>
  </si>
  <si>
    <t>AA1/13.04.2022 durata</t>
  </si>
  <si>
    <t>AA1/12.04.2022 durata</t>
  </si>
  <si>
    <t>Comuna Mahmudia</t>
  </si>
  <si>
    <t>Măsuri și instrumente destinate îmbunătățirii
proceselor în cadrul administrației UAT Mahmudia</t>
  </si>
  <si>
    <t>Mahmudia</t>
  </si>
  <si>
    <t>ADEPT – Administrație digitala eficienta pentru cetatenii din Turda</t>
  </si>
  <si>
    <t>Măsuri pentru simplificarea procedurilor
administrative și reducerea birocrației pentru cetățeni</t>
  </si>
  <si>
    <t>Administrație publică simplificată</t>
  </si>
  <si>
    <t>Comuna C.A. Rosetti</t>
  </si>
  <si>
    <t>Ecosistem digital interconectat și integrat în cadrul ITI Tulcea - UAT Comuna C.A. Rosetti</t>
  </si>
  <si>
    <t>C.A. Rosetti</t>
  </si>
  <si>
    <t>AA1/21.05.2021 durata, AA2/11.04.2022 suspendare durata cu 12 luni</t>
  </si>
  <si>
    <t>AA2/14.04.2022 durata</t>
  </si>
  <si>
    <t>AA1/18.08.2020 prelungire durata                AA3/14.04.2022 durata si buget</t>
  </si>
  <si>
    <t>Ministerul Economiei</t>
  </si>
  <si>
    <t>AA1/08.04.2019 AA5/14.04.2022 ue si cb
AA2/06.01.2020                         AA3/27.08.2020 durata si ue, cb                 AA4/5.11.2021 durata</t>
  </si>
  <si>
    <t>AA1/22.12.2020 AA2/10.08.2021 buget AA3/19.04.2022 durata si buget</t>
  </si>
  <si>
    <t>AA1/18.08.2020 AA3/24.05.2021 durata si buget (ue, cb)  AA4/19.04.2022 durata</t>
  </si>
  <si>
    <t>AA1/20.12.2021 durata AA2/19.04.2022 durata si ue cb</t>
  </si>
  <si>
    <t>AA1/15.10.2021 durata AA2/18.04.2022 durata</t>
  </si>
  <si>
    <t>Sistem de management al calității si performantei implementat la nivelul Consiliului Județean Vrancea</t>
  </si>
  <si>
    <t>Servicii de integrare și dezvoltare pentru
digitalizarea activității Primăriei Municipiului Târgoviște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</si>
  <si>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</si>
  <si>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</si>
  <si>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</si>
  <si>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</si>
  <si>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</si>
  <si>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Sectorul 5 al Municipiului București</t>
  </si>
  <si>
    <t>Administrație inteligentă în contextul digitalizării</t>
  </si>
  <si>
    <t>Direcția Generala de
Asistenta Sociala si Protecția
Copilului sector 5</t>
  </si>
  <si>
    <t>Sectorul 1 al Municipiului București</t>
  </si>
  <si>
    <t>Implementarea instrumentelor de management al calității și performanței pentru standardizarea proceselor și serviciilor orientate către cetățeni la nivelul Sectorului 1 al Municipiului București</t>
  </si>
  <si>
    <t>A.P.I - Administrație Publică Inovativă</t>
  </si>
  <si>
    <t>Platforma integrată privind simplificarea
procedurilor administrative la nivelul Municipiului Moreni</t>
  </si>
  <si>
    <t>Continuarea digitalizării serviciilor publice în
Municipiul Câmpia Turzii</t>
  </si>
  <si>
    <t>Sectorul 2 al Municipiului București</t>
  </si>
  <si>
    <t>Proceduri simplificate în vederea reducerii birocrației pentru cetățenii sectorului 2</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</si>
  <si>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</si>
  <si>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</si>
  <si>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</si>
  <si>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</si>
  <si>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Turda online - Servicii publice digitalizate la
nivelul Primăriei Municipiului Turda</t>
  </si>
  <si>
    <t>Simplificarea procedurilor administrative la
nivelul municipiului Roșiorii de Vede</t>
  </si>
  <si>
    <t xml:space="preserve"> Roșiorii de Vede</t>
  </si>
  <si>
    <t>Ecosistem digital interconectat și integrat în cadrul UAT Municipiu Adjud</t>
  </si>
  <si>
    <t>Comuna Sarichioi</t>
  </si>
  <si>
    <t>Simplificarea procedurilor administrative la
nivelul Comunei Sarichioi</t>
  </si>
  <si>
    <t>Sarichioi</t>
  </si>
  <si>
    <t>Digitalizarea activității Consiliului Județean Vaslui- soluție pentru creșterea eficienței</t>
  </si>
  <si>
    <t>AA1/18.08.2020 diminuare buget AA2/5.05.2022 durata si ue cb</t>
  </si>
  <si>
    <t>AA1/5.05.2022 durata</t>
  </si>
  <si>
    <t>AA1/2.05.2022 durata ue si cb</t>
  </si>
  <si>
    <t>Simplificarea procesului participativ și decizional în relația cu cetățenii prin digitalizarea integrată și eficientizarea administrației publice la nivelul Primăriei Municipiului Timișoara</t>
  </si>
  <si>
    <t>Planificare strategică și digitalizarea unor servicii publice partajate la nivelul Municipiului Tulcea</t>
  </si>
  <si>
    <t>Ecosistem digital interconectat și integrat în cadrul UAT Municipiului Toplița</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</si>
  <si>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</si>
  <si>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</si>
  <si>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Digital.IASI</t>
  </si>
  <si>
    <t>Măsuri pentru implementarea unui sistem de management al calității și performanței în administrația publică locală a Municipiului Deva, județul Hunedoara</t>
  </si>
  <si>
    <t>AA1/09.12.2019 AA2/19.04.2021 durata si buget AA3/27.07.2021 durata si buget  AA4/9.05.2022 durata</t>
  </si>
  <si>
    <t>Planificare strategică și digitalizarea serviciilor sociale aflate în competența Direcției de Asistență Socială Brașov</t>
  </si>
  <si>
    <t>Direcția de
Asistenta Sociala Brașov</t>
  </si>
  <si>
    <t>Municipiul Câmpulung</t>
  </si>
  <si>
    <t>Ecosistem digital interconectat și GIS integrat in cadrul UAT Municipiul Câmpulung</t>
  </si>
  <si>
    <t>Campulung</t>
  </si>
  <si>
    <t>Implementarea unui sistem de management performant pentru îmbunătățirea proceselor interne și creșterea calității serviciilor Primăriei Municipiului Drăgășani</t>
  </si>
  <si>
    <t>AA1/13.05.2022 durara si ue si cb</t>
  </si>
  <si>
    <t>Implementarea unui sistem de management al
calității în administrația județeană</t>
  </si>
  <si>
    <t>Instrumente de management al calității și
performanței în administrația publică locală a municipiului Carei</t>
  </si>
  <si>
    <t>AA1/16.05.2022 durata</t>
  </si>
  <si>
    <t>AA1/25.01.2021 AA2/16.05.2022 durata</t>
  </si>
  <si>
    <t>AA1/28.06.2021 durata  AA2/16.05.2022 durata</t>
  </si>
  <si>
    <t>AA1/19.05.2022</t>
  </si>
  <si>
    <t>AA1/16.06.2021durata AA4/19.05.2022 durata si buget (ue, bn, cb)</t>
  </si>
  <si>
    <t>Dezvoltarea unei platforme de interoperabilitate pentru interacțiunea digitală cu beneficiarii Consiliului Județean Timiș</t>
  </si>
  <si>
    <t>Planificare strategică și management performant
la nivelul Primăriei Municipiului Onești</t>
  </si>
  <si>
    <t>Ecosistem digital interconectat și interoperabil</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</si>
  <si>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</si>
  <si>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</si>
  <si>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</si>
  <si>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</si>
  <si>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Frecăței</t>
  </si>
  <si>
    <t>Îmbunătățirea sistemului de management al
calității pentru o administrație performantă în Municipiul Brad, județul Hunedoara</t>
  </si>
  <si>
    <t>Județul Caraș Severin</t>
  </si>
  <si>
    <t>Creșterea calității serviciilor publice electronice pentru cetateni la nivelul Județului Caraș-Severin</t>
  </si>
  <si>
    <t>AA1/26.05.2022 durata</t>
  </si>
  <si>
    <t>AA 2/11.02.2021 durata AA3/22.11.2021 durata AA4/25.05.2022 durata</t>
  </si>
  <si>
    <t>AA1/24.05.2022 buget (ue, bn)</t>
  </si>
  <si>
    <t>Elaborarea PMUD 2023-2030 la nivelul municipiului
Satu Mare</t>
  </si>
  <si>
    <t>SIASCoP Bacau - Sistem informatic de
automatizare a serviciilor cu competente partajate</t>
  </si>
  <si>
    <t>Soluții informatice integrate pentru simplificare
administrativă și reducerea birocrației prin digitalizarea serviciilor publice partajate la nivelul
Consiliului Judetean Călărași</t>
  </si>
  <si>
    <t>Obiectivul general al proiectului consta in consolidarea capacitatii administrative a Consiliului Judetean Calarasi de a asigura calitatea si
accesul la serviciile publice oferite partajat prin simplificarea procedurilor administratiei judetene si reducerea birocratiei pentru cetateni.
Obiectivele specifice ale proiectului
1. OS 1 Eficientizarea si simplificarea serviciilor gestionate partajat catre Consiliul Judetean Calarasi, in corespondenta cu Planul
integrat pentru simplificarea procedurilor administrative aplicabile cetatenilor, prin extinderea si interconectarea solutiei de portal
existente cu module privind serviciile/competentele partajate ale institutiei
2. OS2-Dezvoltarea abilitatilor personalului CJ Calarasi prin specializarea angajatilor CJ pe teme specifice proiectului (utilizarea
modulelor sistem informatic) si organizarea unui schimb de experienta, in vederea simplificarii procedurilor administrative si
optimizarea proceselor orientate catre beneficiari</t>
  </si>
  <si>
    <t>Județul Iași</t>
  </si>
  <si>
    <t>Simplificarea procedurilor administrative la
nivelul Consiliului Județean Iași</t>
  </si>
  <si>
    <t>AA2/30.05.2022 durata si buget</t>
  </si>
  <si>
    <t>AA1/17.12.2019 AA2/27.05.2022 durata si ue, cb</t>
  </si>
  <si>
    <t>AA1/6.07.2021 AA2/27.05.2022 durata</t>
  </si>
  <si>
    <t>Orașul Sulina</t>
  </si>
  <si>
    <t>Ecosistem digital interconectat și integrat în
cadrul ITI Delta Dunării - UAT Orașul Sulina</t>
  </si>
  <si>
    <t xml:space="preserve">Sulina </t>
  </si>
  <si>
    <t>Obiectivul general al proiectului consta în consolidarea capacitatii institutionale si eficientizarea activitatii la nivelul UAT Orasul Sulina,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Optimizarea procedurilor administrative interne în raport cu beneficiarii serviciilor publice, în scopul reducerii birocratiei, prin
implementarea unui ecosistem digital integrat.
2. Strategia de Transformare Digitala a orasului Sulina</t>
  </si>
  <si>
    <t>Orașul Isaccea</t>
  </si>
  <si>
    <t>Planificare strategică și digitalizarea serviciilor
publice la nivelul orașului Isaccea</t>
  </si>
  <si>
    <t>Isaccea</t>
  </si>
  <si>
    <t>UAT Municipiul Câmpina</t>
  </si>
  <si>
    <t>Planificare strategică și digitalizarea serviciilor publice la nivelul municipiului Câmpina</t>
  </si>
  <si>
    <t>Management performant pentru Municipiul Fălticeni</t>
  </si>
  <si>
    <t>AA1/20.04.2021 durata si buget (ue, cb) + chelt neelig                        AA2/9.06.2022 durata</t>
  </si>
  <si>
    <t>AA1/9.06.2022 durata</t>
  </si>
  <si>
    <t>AA1/7.06.2022 durata si neeligibil</t>
  </si>
  <si>
    <t>Municipiul București</t>
  </si>
  <si>
    <t>Consolidarea sistemului de management anticorupție</t>
  </si>
  <si>
    <t>Consolidarea sistemului de management anticoruptie, cresterea eticii, transparentei, integritatii si competentei la nivelul Primariei
Municipiului Bucuresti si al institutiilor aflate în subordonare/coordonare.
Obiectivele specifice ale proiectului
1. O.S.1. Cresterea gradului de implementare a masurilor de prevenire a coruptiei si a indicatorilor de evaluare la nivelul Primariei
Municipiului Bucuresti prin organizarea a 20 de ateliere de lucru si prin elaborarea si adoptarea a doua proceduri cu privire la
prevenirea/evaluarea incidentelor de integritate
2. O.S.2. Cresterea gradului de constientizare a fenomenului coruptiei din perspectiva cauzelor generatoare, factorilor favorizanti si
a consecintelor la nivelul Primariei Municipiului Bucuresti si institutiilor aflate în subordonare/coordonare prin realizarea unei
campanii de constientizare privind fenomenul coruptiei în administratia publica locala
3. O.S.3. Cresterea gradului de cunostinte si competente a personalului în domeniul prevenirii coruptiei, transparentei, eticii si
integritatii din cadrul Primariei Municipiului Bucuresti si al institutiilor aflate în subordonare/coordonare prin instruirea a 175 de
persoane din care 140 certificate</t>
  </si>
  <si>
    <t>Servicii on-line pentru facilitarea interacțiunii cu cetățenii județului Harghita DIGIT-HR</t>
  </si>
  <si>
    <t>Sistem Integrat de e-Administrație, etapa a II-a:
competențe partajate</t>
  </si>
  <si>
    <t>Simplificarea procedurilor administrative la
nivelul Municipiului Săcele</t>
  </si>
  <si>
    <t>OPTIM - Digitalizare si optimizare a activității DGASPC Ilfov orientată către cetățeni</t>
  </si>
  <si>
    <t>DGASPC Ilfov</t>
  </si>
  <si>
    <t>Performanță, Integritate și Transparență în
Executarea Silită (PITES) - Îmbunătățirea serviciului public de executare silită prin modernizare,
standardizare, transparentizare și dezvoltare profesională</t>
  </si>
  <si>
    <t>CP17/2022 (MySMIS: POCA/1005/2/3)</t>
  </si>
  <si>
    <t>AA1/19.05.2021 AA2/9.12.2021 buget AA4/15.06.2022 durata</t>
  </si>
  <si>
    <t>AA2/15.06.2022 durata</t>
  </si>
  <si>
    <t>AA1/13.12.2021 durata AA2/15.06.2022 durata</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</si>
  <si>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cetatean,
precum si pentru a putea elabora, dezvolta si implementa servicii publice în acord cu nevoile identificate la nivelul celor mai vulnerabili
cetateni, contribuind în acelasi timp la îndeplinirea obligatiilor si prioritatilor asumate la nivel national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</si>
  <si>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AA1/15.06.2022 durata</t>
  </si>
  <si>
    <t>CP14/2021less (POCA/659/2/1)</t>
  </si>
  <si>
    <t>Federația Zonelor Metropolitane și Aglomerărilor Urbane din România</t>
  </si>
  <si>
    <t>METROPOLIS- Parteneriate durabile în vederea susținerii și promovării dezvoltării locale, urbane și metropolitane a Municipiilor reședință de județ</t>
  </si>
  <si>
    <t>Bihor, Cluj, Maramureș, Costanța, Mehedinți</t>
  </si>
  <si>
    <t>Oradea, Cluj-Napoca, Baia Mare, Constanța</t>
  </si>
  <si>
    <t>Asociația pentru Promovarea Afacerilor în România</t>
  </si>
  <si>
    <t>Voluntari112</t>
  </si>
  <si>
    <t>2, 4, 6, 7</t>
  </si>
  <si>
    <t>Obiectivul general al proiectului este acela de a realiza un sistem de informare eficienta si coordonata intre serviciile voluntare pentru
situatii de urgenta din judetul Bihor, respectiv imbunatatirea competentelor si cunostintelor pompierilor voluntari, pentru imbunatatirea
gestionarii dezastrelor in judet.                                                                                                                                                                                                                                                                 Obiectivele specifice ale proiectului
1. OS1 – Generarea si mentinerea unui mecanism de cooperare intre SVSU si pompierii voluntari din judetul Bihor
2. OS2 – Cresterea vizibilitatii si constinetizarea luptei impotriva situatiilor de urgenta si revigorarea prestigiului acestei vocatii nobile.
3. OS3 – Cresterea capacitatii membriilor APPAR-lui prin imbunatatirea competentelor a membriilor acestuia cu privire la
gestionarea riscurilor si de acordarea primului ajutor, respectiv prin implicare activa in formularea si promovarea dezvoltarii la
nivel local si prin crearea unor parteneriate micro regionale in domeniul SVSU.</t>
  </si>
  <si>
    <t>Asociația Institutul pentru Dezvoltare Locală - Think Local Act Global</t>
  </si>
  <si>
    <t>Solutii inovative pentru orașe verzi</t>
  </si>
  <si>
    <t>Arad, Caraș-Severin, Timiș</t>
  </si>
  <si>
    <t>Arad, Reșița, Lugoj, Timișoara</t>
  </si>
  <si>
    <t>Consolidarea capacitatii interne a Asociatiei INSTITUTUL PENTRU DEZVOLTARE LOCALA – THINK GLOBAL ACT LOCAL de a se
implica in formularea politicilor de dezvoltare urbana durabila si de transformare a municipiilor Arad, Lugoj, Resita si Timisoara in „orase
verzi”.
Obiectivele specifice ale proiectului
1. Realizarea unei analize la nivelul municipiilor Arad, Lugoj, Resita si Timisoara privind capacitatea acestora de a se alinia
principiilor europene referitoare la neutralitatea emisiilor de carbon si de a deveni „orase verzi”.
2. Asigurarea sustenabilitatii parteneriatelor de dezvoltare locala incheiate cu cele 4 municipii prin dezvoltarea unui mecanism
inovator de promovare a dezvoltarii urbane durabile si a neutralitatii emisiilor de carbon.
3. Stimularea gradului de implicare a cetatenilor celor 4 orase in atingerea obiectivelor de dezvoltare urbana durabila, prin
desfasurarea unui concurs de solutii viabile in atingerii tintei de „oras verde”.</t>
  </si>
  <si>
    <t>Clusterul Regional Inovativ de Imagistică Moleculară și Structurală Nord – Est (IMAGO - MOL)</t>
  </si>
  <si>
    <t>Iași - Smart Health City</t>
  </si>
  <si>
    <t>Asociația Județeană de Fotbal Hunedoara</t>
  </si>
  <si>
    <t>Fotbalul este mai mult decât un joc</t>
  </si>
  <si>
    <t>Crișcior, Deva, Hunedoara, Petroșani, Geoagiu, Hațeg, Sântămăria-Orlea</t>
  </si>
  <si>
    <t>Obiectivul General al proiectului este cresterea capacitatii de dezvoltare strategica si implicare a organizatiilor neguvernamentale care
activeaza in domeniul sportiv, in vederea dezvoltarii fotbalului din Romania prin formularea si promovarea de propuneri alternative cu
impact local si national, dezvoltarea de instrumente de monitorizare si evaluare independenta a politicilor si strategiilor de dezvoltare a
fotbalului, precum si dezvoltarea si implementarea de mecanisme de consultare a autoritatilor si institutiilor publice cu ong-urile si cetatenii in elaborarea politicilor si strategiilor la nivel local.
In vederea indeplinirii obiectivului principal, precum si a obiectivelor specifice proiectului, se vor avea in vedere:
- Dezvoltarea abilitatilor ong-urilor in a influenta modul in care se gandesc si se implementeaza strategiile de dezvoltare a fotbalului la
nivel local si national;
- Facilitarea unor dialoguri deschise intre ong-uri si institutiile publice, astfel incat toti actorii relevanti sa devina mai responsabili si
raspunzatori fata de rezultatele politicilor si strategiilor de dezvoltare initiate.
Obiectivul general corespunde prioritatilor strategice POCA, Axa 2, si contribuie direct, in mod concret, la atingerea OS 2.1: Introducerea
de sisteme si standarde comune in administratia publica locala ce optimizeaza procesele orientate catre beneficiari in concordanta cu
SCAP.
Obiectivele specifice ale proiectului
1. 1. O1. Dezvoltarea abilitatilor si competentelor teoretice si practice a cel putin 50 reprezentanti ai ONGurilor care activeaza in
domeniul sportiv, cu un accent pe dezvoltarea abilitatilor manageriale si de comunicare, astfel incat acestia sa-si poata mai bine
reprezenta interesele si sa intervina profesional in dialogul social si procesul decizional de elaborare a strategiilor de dezvoltare a
fotbalului.
2. O2. Sprijinirea atat a ong-urilor cat si a institutiilor publice, in dezvoltarea si implementarea de mecanisme de consultare, in
vederea elaborarii politicilor si strategiilor de dezvoltare a fotbalului la nivel local si national.</t>
  </si>
  <si>
    <t>Asociația Metropolitană pentru Dezvoltare Durabilă a Transportului Public Brașov</t>
  </si>
  <si>
    <t>ACTIV-D Abilitati si Competente Transversale
Inovative pentru un Viitor DURABIL</t>
  </si>
  <si>
    <t>ASOCIAŢIA ÎNTREPRINDERILOR MICI ŞI MIJLOCII COVASNA - ASIMCOV</t>
  </si>
  <si>
    <t>Consolidarea capacității de dezvoltare a
bioeconomiei inteligente în județul Covasna</t>
  </si>
  <si>
    <t>Implementarea de proceduri simplificate pentru reducerea birocrației pentru cetățeni la nivelul municipiului Bistrița în domenii de activitate cu competență partajată asistență socială si urbanism</t>
  </si>
  <si>
    <t>Asociaţia "Astrico Nord-Est" Săvineşti</t>
  </si>
  <si>
    <t>Mecanisme participative pentru dezvoltare
economică locală în municipiul Piatra Neamt</t>
  </si>
  <si>
    <t>AA1/2.10.2020 durata  AA2/8.12.2021 durata AA3/2.06.2022 durata si buget</t>
  </si>
  <si>
    <t>Asociația pentru Dezvoltarea Economiei Sociale Fortunatis</t>
  </si>
  <si>
    <t>Dezvoltare durabilă la nivel local</t>
  </si>
  <si>
    <t xml:space="preserve">Alba, Mureș, Sibiu, </t>
  </si>
  <si>
    <t>Alba-Iulia, Sibiu, Târgu Mureș, Miercurea Sibiului</t>
  </si>
  <si>
    <t>Asociația Tinerilor cu Inițiativă din Zona Olteniei - ATIZO</t>
  </si>
  <si>
    <t>ONG - O șansă pentru dezvoltarea administratiei
publice locale</t>
  </si>
  <si>
    <t>Coțofenii din Față</t>
  </si>
  <si>
    <t>Societatea de Cruce Roșie Filiala Arad</t>
  </si>
  <si>
    <t>O șansă pentru fiecare</t>
  </si>
  <si>
    <t>Asociația Centrul de Resurse APOLLO</t>
  </si>
  <si>
    <t>Sunt activ, sunt cetățean!</t>
  </si>
  <si>
    <t>Ariceștii Rahtivani</t>
  </si>
  <si>
    <t>Asociația Măgurele Science Park</t>
  </si>
  <si>
    <t>CONNECT - Dezvoltarea publică locală prin inovare și conectarea părților interesate</t>
  </si>
  <si>
    <t xml:space="preserve">CP14/2021more (POCA/660/2/1) </t>
  </si>
  <si>
    <t>AA1/22.07.2019 AA3/23.12.2020 durata si buget AA4/23.06.2021 durata, partener, ue, cb, bn         AA5/7.12.2021 durata si ue+cb AA6/28.06.2022 durata</t>
  </si>
  <si>
    <t>AA1/24.06.2022 durata</t>
  </si>
  <si>
    <t>AA1/11.04.2022 durata   AA2/28.06.2022 ue si cb</t>
  </si>
  <si>
    <t>AA1/27.10.2021 durata AA2/24.06.2022 durata</t>
  </si>
  <si>
    <t>AA1/30.06.2022 durata, ue si cb</t>
  </si>
  <si>
    <t>AA1/23.08.2021 durata si ue+cb         AA2/30.06.2022 durata</t>
  </si>
  <si>
    <t>Ordin 1352/24.03.2020 Ordin 738/28.05.2021 buget si durata                       Ordin 1328/4.07.2022 durata</t>
  </si>
  <si>
    <t>Societatea Națională de Cruce Roșie Filiala Sălaj</t>
  </si>
  <si>
    <t>Fii activ în Sălaj!</t>
  </si>
  <si>
    <t>Obiectivul general al proiectului “Fii activ în Salaj!” consta in cresterea capacitatii organizationale a SNCRR Filiala Salaj de a se implica în
formularea si promovarea dezvoltarii la nivel local prin dezvoltarea retelei de voluntari in judetul Salaj ce vine in sprijinul comunitatii in
situatie de criza si totodata crearea unui instrument comun de interventie in situatie de criza. Prin activitatile propuse, SNCRR Filiala Salaj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Salaj prin construirea unui dialog sustenabil cu societatea civila si
administratia publica din judet;
2. OS2. Cresterea gradului de constientizare a rolului societatii civile in comunitate, elaborarea unui instrument/ghid de bune practici
de interventie in sitiuatie de criza;
3. OS3. Cresterea gradului de pregatire profesionala in domeniul asistentei primului ajutor in vederea asigurarii unui grad ridicat de
interventie in comunitate, in situatie de criza;
4. OS4. Cresterea premiselor de colaborare ale comunitatii si participarea/implicarea acesteia în procesul de luare a deciziilor;
5. OS5. Dezvoltarea retelei de voluntari in judetul Salaj;
6. OS6. Consolidarea parteneriatului intre societatea civila si administratia publica prin actiuni constante de implicare reciproca in
viata comunitatii;
7. OS7. Cresterea gradului de constientizare privind egalitatea de sanse si nediscriminarea in in comunitate precum si a obiectivelor
de dezvoltare durabila;</t>
  </si>
  <si>
    <t>Implementarea Mecanismului de Consultare Primării-ONG-Cetățeni</t>
  </si>
  <si>
    <t>Buzau</t>
  </si>
  <si>
    <t>Nehoiu, Siriu</t>
  </si>
  <si>
    <t>Consolidarea capacitatii ONGului Asociatia pentru Dezvoltare Comunitara Nehoiu (A.D.C.N) de a se implica in formularea si
promovarea dezvoltarii la nivel local in UAT Nehoiu si Siriu, prin introducerea unui Mecanism de Consultare Primarie-ONG-Cetateni                          OS1: Evaluarea Gradului Actual de Consultare a Primariilor Nehoiu si Siriu cu ONG-uri si cu Cetatenii                                                                                                   OS2:Implementarea unui Mecanism de Consultare intre Primariile Nehoiu / Siriu si A.D.C.N. cu implicarea Cetatenilor prin
Introducerea unui Instrument modern de transmitere propuneri de la cetateni cu privire la dezvoltarea locala                                                                               OS3 Dezvoltarea cunostiintelor si abilitatilor unui nr de 50 de angajati ai Primariei Nehoiu si Siriu, la nivel UAT Nehoiu si Siriu in
vederea dobandirii abiitatilor necesare functionarii Mecanismului de Consultare                                                                                                                                                  OS4: Dezvoltarea cunostiintelor si abilitatilor unui nr de 50 de angajati si voluntari A.D.C.N. la nivel UAT Nehoiu si Siriu in
vederea intelegerii, prelucrarii si transmiterii evaluarilor propunerilor cetatenilor si transpunerii rezultatelor acestor evaluari in
propuneri pentru actiuni directe de la nivelul autoritatii publice locale Nehoiu si Siriu</t>
  </si>
  <si>
    <t>Federația ”Uniunea Națională a Organizațiilor Persoanelor Afectate de HIV/SIDA (UNOPA)”</t>
  </si>
  <si>
    <t>Rețea pentru dezvoltare locală și dialog civic Giurgiu</t>
  </si>
  <si>
    <t>Capacitarea societatii civile (ONG-uri, parteneri sociali), ca premisa pentru implicarea in dezvoltarea locala si consolidarea relatiei intre
comunitate si administratia publica locala in judetul Giurgiu, cu focus pe domeniul sanatate si protectie sociala.                                                                       OS.1 Cresterea capacitatii de utilizare a mecanismelelor si instrumentelor de participare/consultare pentru 80 reprezentanti ai
ONG-urilor si partenerilor sociali din judetul Giurgiu.                                                                                                                                                                                                                   OS.2 Dezvoltarea dialogului civic intre reprezentantii societatii civile (parteneri sociali, ONG-uri etc.), personalul din autoritatile
si institutiile publice locale, alesii locali si cetateni in vederea cresterii implicarii comunitatii locale in procesul de luare a deciziilor,
la nivelul judetului Giurgiu (80 persoane).</t>
  </si>
  <si>
    <t>Asociația Cluster pentru Inovare și Tehnologie</t>
  </si>
  <si>
    <t>Dezvoltarea locală prin crearea și operaționalizarea
Consiliului Digital Brașov</t>
  </si>
  <si>
    <t>AGENTIA
METROPOLITA
NA PENTRU
DEZVOLTARE
DURABILA
BRASOV</t>
  </si>
  <si>
    <t>Obiectivul general al proiectului consta in dezvoltarea capacitatii organizatiilor neguvernamentale si partenerilor sociali locali de a identifica
si promova politici publice inovatoare care sa optimizeze procesele administratiei publice orientate catre cetateni.
Obiectivele specifice ale proiectului
1. OS1. Dezvoltarea unui parteneriat intre ACIT, AMB si Primaria Municipiului Brasov pentru infiintarea si functionalizarea Consiliului
Digital Brasov.
2. OS2. Cresterea capacitatii membrilor ACIT, AMB si Primariei Municipiului Brasov de a formula politici publice in domenii precum
digitalizare, inovare si antreprenoriat.
3. OS3. Dezvoltarea si implementarea de mecanisme, proceduri, instrumente de consolidare a dialogului social si civic pe tematicile
transformare digitala, inovare, smart city si antreprenoriat.</t>
  </si>
  <si>
    <t>Fundația Națională pentru Tineret</t>
  </si>
  <si>
    <t>Cooperare și dezvoltare pentru o comunitate durabilă</t>
  </si>
  <si>
    <t>FUNDATIA
JUDETEANA
PENTRU
TINERET
TIMIS</t>
  </si>
  <si>
    <t>5,7</t>
  </si>
  <si>
    <t>Sibiu, Hunedoara</t>
  </si>
  <si>
    <t>Asociația "Centrul Regional de Voluntariat"</t>
  </si>
  <si>
    <t>Un viitor mai bun - administrație locală
eficientă</t>
  </si>
  <si>
    <t>Amarastii de Jos</t>
  </si>
  <si>
    <t>Asociația "Green Energy"</t>
  </si>
  <si>
    <t>Green Deal Targu Secuiesc – Parteneriat local
pentru o comunitate sustenabilă și independentă energetic</t>
  </si>
  <si>
    <t>Obiectivul general al proiectului este consolidarea capacitatii interne a Asociatiei Green Energy de a formula si implementa mecanisme
colaborative intre mediul de afaceri, reprezentantii societatii civile si autoritatile publice locale pentru promovarea si dezvoltarea unor
comunitati sustenabile si independente energetic in zona Targu Secuiesc din judetul Covasna
Obiectivele specifice ale proiectului
1. Identificarea situatiei actuale referitoare la capacitatea si modalitatile de colaborare intre actori locali ca premisa a promovarii si
dezvoltarii unor comunitati sustenabile energetic prin maparea partilor interesate si a initiativelor existente in domeniul energiei
regenerabile
2. Consolidarea capacitatii interne a Asociatiei Green Energy de a formula si implementa mecanisme colaborative prin elaborarea
unei metodologii de generare a comunitatilor sustenabile si independente energetic
3. Intensificarea proceselor de invatare individuala si institutionala la nivelul Asociatiei Green Energy, a societatii civile si autoritatilor
publice locale prin activitati de formare in domeniul politicilor publice si dezvoltarii locale.</t>
  </si>
  <si>
    <t>ASOCIAȚIA INEDITRAVEL</t>
  </si>
  <si>
    <t>Vlădești</t>
  </si>
  <si>
    <t>Cetățenie activă și interactivă la Vlădești</t>
  </si>
  <si>
    <t>Societatea de Educație Contraceptivă și Sexuală</t>
  </si>
  <si>
    <t>MATERNAHUB</t>
  </si>
  <si>
    <t>FEDERAȚIA PATRONATELOR ÎNTREPRINDERILOR DE LA MICI LA MARI</t>
  </si>
  <si>
    <t>Creșterea nivelului de cunoaștere cu privire la reducerea risipei alimentare</t>
  </si>
  <si>
    <t>Asociația Stațiunilor Turistice</t>
  </si>
  <si>
    <t>Drăghiceni, Giuvărăști, Ianca, Izbiceni, Caracal, Vișina</t>
  </si>
  <si>
    <t>TERRA MILENIUL III</t>
  </si>
  <si>
    <t>Implicarea ONGurilor în dezvoltarea durabila a municipiului Moreni ca pol de creștere</t>
  </si>
  <si>
    <t>ASOCIAȚIA PENTRU PROMOVAREA ALIMENTULUI ROMÂNESC - A.P.A.R</t>
  </si>
  <si>
    <t>Dialog pentru Consens</t>
  </si>
  <si>
    <t>ASOCIAȚIA PENTRU DEZVOLTARE COMUNITARĂ NEHOIU</t>
  </si>
  <si>
    <t>AA2/4.07.2022 durata si ue, bn</t>
  </si>
  <si>
    <t>AA1/23.12.2020 durata  AA2/16.12.2021 durata AA3/23.03.2022 durata  AA4/6.07.2022 durata</t>
  </si>
  <si>
    <t>AA1/8.07.2022 durata</t>
  </si>
  <si>
    <t>CAMERA DE COMERT INDUSTRIE, NAVIGAȚIE ȘI AGRICULTURA</t>
  </si>
  <si>
    <t>Dezvoltarea locală a UAT Tuzla prin promovarea resurselor locale</t>
  </si>
  <si>
    <t>Tuzla</t>
  </si>
  <si>
    <t>Instrumente de lucru și formare pentru Organizații de Viitor_ILFOV</t>
  </si>
  <si>
    <t>ASOCIAȚIA ROMÂNĂ PENTRU TRANSPARENȚĂ</t>
  </si>
  <si>
    <t>Brănești</t>
  </si>
  <si>
    <t>ASOCIATIA "CENTRUL DE RESURSE SI INFORMARE PENTRU PROFESIUNI SOCIALE" C.R.I.P.S.</t>
  </si>
  <si>
    <t>DAP Social Dialog, Acțiune, Profesionalism pentru dezvoltarea sistemului de servicii sociale in județul Ialomița</t>
  </si>
  <si>
    <t>3, 8</t>
  </si>
  <si>
    <t>Ialomița, București</t>
  </si>
  <si>
    <t>Slobozia, București</t>
  </si>
  <si>
    <t>Cresterea capacitatii ONGurilor active in sectorul social de a se implica în promovarea dezvoltarii serviciilor sociale, participand la
elaborarea, implementarea si monitorizarea strategiei de dezvoltare a serviciilor sociale la nivel local                                                                                           OS1: Crestera participarii ONGurilor la analiza de nevoi, elaborarea , definitivarea si monitorizarea aplicarii unei Strategii
Judetene de Dezvoltare a Serviciilor Sociale SJDSS, incepand cu luna a 2-a si inca 6 luni dupa finalizarea implementarii
proiectului – prin crearea si functionarea unui mecanism consultativ public-privat                                                                                                                                           OS2 Imbunatatirea competentelor reprezentantilor ONG (24 persoane) si a specialistilor din servicii sociale publice din judetul
Ialomita (20 persoane) pentru aplicarea practicilor de implicare a beneficiarilor in procesul de consultare cu privire la calitatea
serviciilor sociale , prin elaborarea si pilotarea unui model de formare incepand cu luna a 3-a si pana in luna a 12-a de
implementare                                                                                                                                                                                                                                                                                                            OS3 Cresterea accesului la informatie si imbunatatirea participarii personalului din ONGuri la dialog social si civic pe tema
dezvoltarii sistemului de servicii sociale , in randul a peste 20 de ONGuri pana la finalul proiectului (min 6 din judetul Ialomita si 14
din alte judete / sectoare ale mun Bucuresti) si a peste 20 de servicii publice din alte judete/ sectoare ale mun Bucuresti, incepand
cu luna a 4-a si si inca 6 luni dupa finalizarea implementarii proiectului – prin crearea si actualizarea unui website specializat</t>
  </si>
  <si>
    <t>ASOCIAȚIA PENTRU PROMOVAREA TURISMULUI DIN ORADEA ȘI REGIUNE</t>
  </si>
  <si>
    <t>Intarirea capacitatii de gestionare si coordonare a dezvoltarii turismului de la nivelul municipiului Oradea - VisIT Oradea</t>
  </si>
  <si>
    <t>Scopul proiectului este de a contribui la sprijinirea relansarii si dezvoltarii turismului la nivelul municipiului Oradea, prin implementarea
unor proceduri si instrumente noi, participative de colectare si analiza a informatiilor din domeniu. Astfel, obiectivul contribuie la atingerea
obiectivului specific 2.1. al POCA avand in vedere ca introduce sisteme (instrumente) si standarde (proceduri) ale caror rezultate vor fi
preluate de catre administratia publica locala (Primaria Municipiului Oradea) in baza Parteneriatului pentru Dezvoltare Locala incheiat ca
parte a prezentului proiect.                                                                                                                                                                                                                                                                                                                                     1. Obiectivul specific 1: Diagnosticarea principalelor provocari si obstacole intampinate de actorii relevanti din turismul oradean in
ceea ce priveste prezenta in mediul online, precum si formularea de recomandari pentru imbunatatirea situatiei pe baza acestei
analize
2. Obiectivul specific 2: Dezvoltarea unei platforme informatice pentru facilitarea interactiunii digitale dintre actorii principali din
turism si administratia publica locala, in vederea asigurarii fundamentelor pentru elaborarea politicilor publice locale precum si a
monitorizarii implementarii acestora
3. Obiectivul specific 3: Intarirea capacitatii de definire, implementare si monitorizare a politicilor publice locale, in vederea
impulsionarii turismului la nivelul municipiului Oradea, prin organizarea unei sesiuni de formare in domeniul elaborarii strategiilor
de dezvoltare in domeniul turismului</t>
  </si>
  <si>
    <t>Fundația Paem Alba</t>
  </si>
  <si>
    <t>Dezvoltare locala, parteneriate strategice - DLS</t>
  </si>
  <si>
    <t>Obiectiv general - Cresterea capacitatii de dezvoltare strategica locala si implicarea ONGurilor din domeniul dezvoltarii economice si
locale, in formularea si promovarea dezvoltarii la nivel local prin parteneriate sustenabile, precum si dezvoltarea de instrumente, proceduri
de lucru, mecanisme de consultare publica, pentru sustinerea dezvoltarii durabile cu implicarea actorilor relevanti din comunitatile vizate.          1. O1. Dezvoltarea abilitatilor si competentelor practice a cel putin 20 reprezentanti ai ONGurilor cu focus pe dezvoltare economica
si locala, in a se implica in formularea si promovarea dezvoltarii la nivel local, in a interveni profesional in dialogul civic si procesul
decizional, pe diferite nivele ierarhice, in aria cheie promovare locala&amp;antreprenoriat rural.
2. O2. Facilitarea dezvoltarii de mecanisme si actiuni de consultare a autoritatilor si institutiilor publice cu ONGurile precum si
implicarea cetatenilor in elaborarea politicilor si strategiilor la nivel local, dezvoltarea de instrumente de monitorizare si evaluare
independenta a politicilor si strategiilor la nivel local, actiuni cu impact direct in zonele vizate asupra antreprenoriatului local si
promovare turistica prin oferirea de suport integrat.</t>
  </si>
  <si>
    <t>Bucium, Mogoș, Alba Iulia, Ponor, Râmeț, Întregalde</t>
  </si>
  <si>
    <t>ASOCIAȚIA GO-AHEAD</t>
  </si>
  <si>
    <t>Cetățenie activă într-o lume digitala</t>
  </si>
  <si>
    <t>Obiectivul general al proiectului este 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Sectorului 4.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Sectorului 4.
OS2. Dezvoltarea abilitatilor si competentelor practice a cel putin 30 de reprezentanti ai Asociatiei GO-AHEAD si organizatiilor
non-guvernamentale care au aderat la parteneriatul propus, in a promova si sustine initiative concrete si relevante de cetatenie
activa si competente digitale crescute ale cetatenilor Sectorului.</t>
  </si>
  <si>
    <t>AA1/2.09.2020 durata  AA2/11.07.2022 durata si buget</t>
  </si>
  <si>
    <t>AA 1/15.01.2019 - SUSPENDARE 3 LUNI AA2/16.04.2020 - suspendare 3 luni AA3/16.07.2020 suspendare 2 luni; AA4/23.06.2021 durata si buget                AA5/11.07.2022 durata si buget</t>
  </si>
  <si>
    <t>AA1/29.10.2020 durata si buget                  AA2/18.01.2022 durata AA3/11.07.2022 buget(neeligibil)</t>
  </si>
  <si>
    <t>AA1/13.10.2020 durata, ue, cb                                   AA2/2.02.2022 durata                      AA3/11.07.2022 buget</t>
  </si>
  <si>
    <t>Asociația Urban INC</t>
  </si>
  <si>
    <t>I-Lab</t>
  </si>
  <si>
    <t>Cresterea capacitatii Asociatiei Urban INC de a se implica in formularea si promovarea politicilor publice bazate pe dovezi si pe principii
inovative si de colaborare multi-actori la nivelul sectorului 2 si sectorului 6 din Bucuresti.
Obiectivele specifice ale proiectului
1. Consolidarea capacitatii interne a Asociatiei Urban INC in vederea mentinerii de membri si voluntari capabili sa lucreze in aria de
interventie legata de formularea si promovarea politicilor publice de dezvoltare locala bazate pe dovezi si pe principii innovative si
de colaborare multi-actori.
2. Imbunatatirea capacitatii grupului tinta al proiectului de a lucru cu metode specifice politicilor publice de dezvoltare locala bazate
pe dovezi si pe principii inovative si de colaborare multi-actori.</t>
  </si>
  <si>
    <t>CONSILIUL NAȚIONAL AL ÎNTREPRINDERILOR PRIVATE MICI ȘI MIJLOCII DIN ROMÂNIA</t>
  </si>
  <si>
    <t>Bucharest Business Agency</t>
  </si>
  <si>
    <t>Sibiu Business Agency</t>
  </si>
  <si>
    <t>Construim comunitati si oameni prin dialog structurat
si participare publica</t>
  </si>
  <si>
    <t>ASOCIAŢIA DE
TINERET ONIX</t>
  </si>
  <si>
    <t xml:space="preserve">2, 3, 4 </t>
  </si>
  <si>
    <t>Buzău, Constanța, Dâmbovița, Giurgiu, Prahova, Gorj</t>
  </si>
  <si>
    <t>Dezvoltarea Inteligenței Digitale pentru o Cetățenie activă</t>
  </si>
  <si>
    <t>Dezvoltarea si implementarea de parteneriate si mecanisme de cooperare între autoritatile publice, ONG-uri si societatea civila pentru
elaborarea de instrumente de monitorizare si evaluare a dialogului social structurat privind accesul tinerilor în pozitii de conducere în plan
local, precum si dezvoltarea capacitatilor membrilor ONG-urilor si ai reprezentantilor comunitatii locale prin instruiri si participari la retele tematice.                                                                                                                                                                                                                                                                                                                        OS1. Dezvoltarea si implementarea a 3 parteneriate locale APL-ONG-societatea civila pentru facilitarea accesului tinerilor la
pozitii de conducere si participarea la actul administrativ la nivel local
OS2. Instruirea si certificarea a 60 de membri ai grupului tinta din ONG-uri, APL si partenerilor sociali în vederea întariririi
competentelor pentru dezvoltare locala
OS3. Organizarea si desfasurarea a 6 dezbateri publice pe teme de egalitate de sanse, nediscriminare si dezvoltare durabila</t>
  </si>
  <si>
    <t xml:space="preserve">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judetului Prahova.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judetului Prahova.
OS2: Dezvoltarea abilitatilor si competentelor practice a cel putin 30 de reprezentanti ai Asociatiei GO-AHEAD si ai organizatiilor
non-guvernamentale active din judetul Prahova, care vor adera la parteneriatul propus, pentru a promova si sustine initiative
concrete si relevante de cetatenie activa si competente digitale crescute ale cetatenilor judetu                                                                   </t>
  </si>
  <si>
    <t>ASOCIATIA REGIONALA PENTRU DEZVOLTARE ANTREPRENORIALA OLTENIA cu acronimul (ARDA
OLTENIA)</t>
  </si>
  <si>
    <t>Implicare civică pentru un Mehedinți durabil</t>
  </si>
  <si>
    <t>ASOCIATIA PENTRU COOPERARE SI DEZVOLTARE DURABILA</t>
  </si>
  <si>
    <t>Implicat în dezvoltarea durabilă a județului Brașov</t>
  </si>
  <si>
    <t>Dezvoltarea capacitatilor ONG-urilor si actorilor sociali din judetul Brasov de a se implica activ în formularea, sustinerea si promovarea
dezvoltarii durabile la nivelul judetului.
Obiectivele specifice ale proiectului
1. Consolidarea capacitatii interne a ONG-urilor si partenerilor sociali prin dezvoltarea de abilitati specifice privind implicarea
angajatilor ONG-urilor si a partenerilor sociali in demersul de elaborare
2. Devoltarea la nivelul judetului Brasov a unui Hub-de dezvoltare durabila cu rolul de a facilita cooperarea si schimbul de bune
practici intre ONG-uri, societatea civila si autoritatile publice pentru implementarea celor 17 Obiective pentru Dezvoltare Durabila
ale Agendei 2030
3. Cresterea gradului de informare si constientizare a societatii civile privind implicarea comunitatii în viata publica si participarea la
procese decizionale</t>
  </si>
  <si>
    <t>FILIALA BACĂU A SOCIETĂȚII NAȚIONALE DE CRUCE ROȘIE ROMÂNIA AFJ</t>
  </si>
  <si>
    <t>Fii implicat în Colonești!</t>
  </si>
  <si>
    <t>Colonești</t>
  </si>
  <si>
    <t>ASOCIAȚIA DE DEZVOLTARE INTERCOMUNITARĂ ZONA METROPOLITANĂ SIBIU</t>
  </si>
  <si>
    <t>Dezvoltarea locală prin cetățenie participativă: Fii cetățean, nu doar contribuabil!</t>
  </si>
  <si>
    <t>ASOCIAȚIA ALADIN DEVA</t>
  </si>
  <si>
    <t>ÎMPREUNĂ, PENTRU EDUCAȚIE!</t>
  </si>
  <si>
    <t>Băcia, Deva, Simeria, Rapoltu Mare</t>
  </si>
  <si>
    <t>Societatea Națională de Cruce Roșie din România Filiala Caraș-Severin</t>
  </si>
  <si>
    <t>Școala pentru viitor</t>
  </si>
  <si>
    <t>Topleț</t>
  </si>
  <si>
    <t>ASOCIAȚIA EUROCOMUNICARE</t>
  </si>
  <si>
    <t>Responsabilizare pentru digitalizare</t>
  </si>
  <si>
    <t>AA1/12.02.2021 durata                  AA2/14.07.2022 durata</t>
  </si>
  <si>
    <t>SOCIETATEA DE CRUCE ROȘIE A ROMÂNIEI FILIALA IAȘI</t>
  </si>
  <si>
    <t>Fii pregătit</t>
  </si>
  <si>
    <t>Plugari</t>
  </si>
  <si>
    <t>Societatea Națională de Cruce Roșie din România Filiala Satu Mare</t>
  </si>
  <si>
    <t>În sprijinul comunităților</t>
  </si>
  <si>
    <t>Obiectivul general al proiectului “In sprijinul comunitatilor” consta în cresterea capacitatii organizationale a SNCRR Filiala Satu Mare de a
se implica în formularea si promovarea dezvoltarii la nivel local prin dezvoltarea retelei de voluntari in Municipiul Satu Mare ce vin in
sprijinul comunitatii precum si elaborarea unui instrument comun privind managementul stresului in situatie de criza/dezastru/pandemie.          si administratia publica;
1.OS1. Cresterea capacitatii organizationale a SNCRR Filiala Satu Mare prin construirea unui dialog sustenabil cu societatea civila
si administratia publica;
2. OS2. Cresterea gradului de constientizare a rolului societatii civile in comunitate prin elaborarea unui instrument/ghid de bune
practici privind managementul stresului in caz de dezastru/situatie de criza;
3. OS3. Cresterea gradului de pregatire profesionala in domeniul managementului stresului in caz de dezastru/situatie de
criza/pandemie, in vederea asigurarii unui grad ridicat de interventie in comunitate;
4. OS4. Cresterea premiselor de colaborare ale comunitatii si participarea/implicarea acesteia în procesul de luare a deciziilor;
5. OS5. Dezvoltarea retelei de voluntari in Municipiul Satu Mare prin incheierea a minim 50 de contracte de voluntariat;
6. OS6. Consolidarea parteneriatului intre societatea civila si administratia publica prin actiuni constante de implicare reciproca in
viata comunitatii;
7. OS7. Cresterea gradului de constientizare privind egalitatea de sanse si nediscriminarea in in comunitate precum si a protectiei
mediului prin promovarea obiectivelor de dezvoltare durabila</t>
  </si>
  <si>
    <t>ASOCIAȚIA „AI ÎNCREDERE”</t>
  </si>
  <si>
    <t>DEZVOLTARE, PARTICIPARE ȘI IMPLICARE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</si>
  <si>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Ceamurlia de Jos                                                                  OS.1. Cresterea capacitatii societatii civile (ONG-uri si parteneri sociali) de a se implica in formularea si promovarea dezvoltarii la
nivel local prin includerea in cursuri de formare profesionala a 40 de cetateni din comuna Ceamurlia de Jos.                                                                               OS.2. Cresterea calitatii administratiei publice in Ceamurlia de Jos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</si>
  <si>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Ceamurlia de Jos</t>
  </si>
  <si>
    <t>ASOCIAȚIA PENTRU POLITICI PUBLICE ȘI INCLUZIUNE SOCIALĂ</t>
  </si>
  <si>
    <t>Măsuri inovative pentru o comunitate dezvoltată</t>
  </si>
  <si>
    <t>ASOCIAȚIA EXPERT GROUP TRENING</t>
  </si>
  <si>
    <t>Creșterea capacității administrative prin dezvoltare la nivel local</t>
  </si>
  <si>
    <t>ASOCIAȚIA CENTRUL PENTRU POLITICI COMUNITARE REGIONALE "C.P.C.R."</t>
  </si>
  <si>
    <t>Management performanat la nivelul autorităților publice locale</t>
  </si>
  <si>
    <t>FUNDATIA SERVICIILOR SOCIALE BETHANY</t>
  </si>
  <si>
    <t>Tranziția de la primul la al doilea eșalon de elaborare a politicilor de economie socială – contribuția ONG-urilor și a partenerilor sociali la apariția unei agende de politici locale privind dezvoltarea întreprinderilor sociale</t>
  </si>
  <si>
    <t>1, 5</t>
  </si>
  <si>
    <t>Suceava, Bihor, Arad, Caraș-Severin, Timiș</t>
  </si>
  <si>
    <t>Asociația Română de Relații Internaționale si Studii Europene</t>
  </si>
  <si>
    <t>Consolidarea institutională a ARRISE pentru dezvoltarea locală participativă</t>
  </si>
  <si>
    <t>Obiectivul general al proiectului consta in consolidarea capacitatii Asociatiei Romane de Relatii Internationale si Studii Europene
(ARRISE) in vederea implicarii in formularea si promovarea dezvoltarii la nivel local, in regiuni mai putin dezvoltate, cu  focus pe strategia
de dezvoltare locala pentru perioada 2021-2027 a orasului Racari.                                                                                                                                                                               1.OS 1: Cresterea nivelului de cunostinte si abilitati in formularea si promovarea dezvoltarii la nivel local pentru 10 membri ai
Asociatiei, prin participarea la programe de formare specifice (Elaborare politici publice, Dezvoltare durabila si Metode si tehnici
de cercetare sociala)
2. OS 2: Cresterea nivelului de cunostinte si abilitati a 10 reprezentanti ai autoritatii locale din orasul Racari in domenii relevante
pentru tematica proiectului (Elaborare policiti publice si Accesare fonduri structurale), prin participarea la programe de formare
specifice, necesare implementarii si monitorizarii unei strategii de dezvoltare locala
3. OS 3: Realizarea unei analize diagnostic cu implicarea comunitatii din orasul Racari (autoritati locale, mediu privat, cetateni, alte
parti interesate), cu scopul identificarii principalelor directii si nevoi de dezvoltare locala
4. OS 4: Elaborarea unei propuneri de strategie de dezvoltare locala 2021-2027 pentru orasul Racari, judetul Dambovita, precum si
a unui mecanism de dialog continuu cu reprezentantii comunitatii locale
5. OS5: Implementarea unui proiect cu finantare nerambursabila, in vederea capacitarii ARRISE pentru implicarea in fomularea si
promovarea dezvoltarii la nivel local</t>
  </si>
  <si>
    <t>ASOCIAȚIA CENTRUL DE RESURSE ȘI FORMARE ÎN PROFESIUNI SOCIALE "PRO VOCAȚIE"</t>
  </si>
  <si>
    <t>Parteneriat Pentru Dezvoltarea Serviciilor Sociale în Corbeanca</t>
  </si>
  <si>
    <t>Optimizarea proceselor la nivelul autoritatii locale prin dezvoltarea de mecansime de cooperare intre Primaria Corbeanca si organizatiile
societatii civile precum si implementarea unor masuri de consultare a acestor organizatii si a cetatenilor in procesul de identificare a
prioritatilor de interventie in domeniul social si planificarea strategica.                                                                                                                                                                   1. OS 1 – Cresterea capacitatii ONG urilor si partenerilor sociali de a se implica in dezvoltarea serviciilor sociale la nivel local prin
monitorizarea si evaluarea gradului in care se implementeaza masurile si actiunile stabilite prin strategii nationale/locale in
domeniul vizat si propunerea de activitati pentru aplicarea acestora                                                                                                                                                                         2. OS 2 – Consolidarea colaborarii intre ONG uri, comunitate si autoritatea locala prin dezvoltarea si operationalizarea unui
mecanism de consultare a acestor categorii cu privire la masurile si actiunile necesare pentru dezvoltarea serviciilor sociale la
nivel local.                                                                                                                                                                                                                                                                                                                 3. OS 3 contribuie la realizarea obiectivului general al proiectului prin dezvoltarea competentelor, informatiilor si aptitudinilor a 80 de
persoane din cadrul ONG-urilor si a altor parteneri sociali in domeniul dezvoltarii strategice/comunitare, dezvoltarii serviciilor
sociale, nediscrimiare si egalitate de sanse si management de proiect.                                                                                                                                                                     4. OS 4 – Promovarea si sustinerea participarii partenerilor sociali si a cetatenilor la dezvoltarea serviciilor sociale la nivel local prin
organizarea unor workshopuri si ateliere de lucru care sa sustina implicarea si participarea civica in formularea interventiilor
prioritare si elaborarea strategiilor la nivel local.</t>
  </si>
  <si>
    <t>Corbeanca</t>
  </si>
  <si>
    <t>ASOCIAȚIA „ONE FOR HOPE”</t>
  </si>
  <si>
    <t>Dezvoltăm împreună Comuna Vlădeni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</si>
  <si>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Vladeni, judetul Iasi.                                                            OS.1. Cresterea capacitatii societatii civile de a se implica in formularea si promovarea dezvoltarii la nivel local prin includerea in
cursuri de formare profesionala a 40 de cetateni (reprezentanti ai ong-urilor, parteneri sociale, alesi locali), din comuna Vladeni.                              OS.2. Cresterea calitatii administratiei publice locale in comuna Vladeni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</si>
  <si>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Vlădeni</t>
  </si>
  <si>
    <t>ASOCIAȚIA BUN VENIT TRANSILVANIA</t>
  </si>
  <si>
    <t>LAOLALTĂ NE E BINE" - Program de întărire a capacităților instituționale, de valorizare a resurselor locale și combaterea discriminării către o societate mai echilibrată și sustenabilă în Comuna Ticușu</t>
  </si>
  <si>
    <t>Ticușu</t>
  </si>
  <si>
    <t>ASOCIAȚIA ROMA ENTREPRENEURSHIP DEVELOPMENT</t>
  </si>
  <si>
    <t>Bugetare participativă în județul Vrancea - premisă pentru promovarea dezvoltării la nivel local</t>
  </si>
  <si>
    <t>ASOCIAȚIA STAȚIUNILOR TURISTICE</t>
  </si>
  <si>
    <t>Corelarea politicilor publice locale cu principiile dezvoltării durabile în turism</t>
  </si>
  <si>
    <t>ASOCIATIA EURO &lt;26</t>
  </si>
  <si>
    <t xml:space="preserve">5, 6,7 </t>
  </si>
  <si>
    <t>Hunedoara, Bihor, Sibiu, Harghita</t>
  </si>
  <si>
    <t>Geoagiu, Săcuieni, Bazna, Borsec</t>
  </si>
  <si>
    <t>Asociația Rază de Speranță în Interventia și Terapia Tulburărilor din Spectrul Autist</t>
  </si>
  <si>
    <t>Centrul de Resurse Sociale Comunitare - CRESC</t>
  </si>
  <si>
    <t>Proiectul isi propune consolidarea capacitatii ONG-urilor si partenerilor sociali din Municipiul Brasov de a se implica in formularea si
promovarea dezvoltarii la nivel local, impreuna cu Autoritatea publica locala, locala, cu accent pe domeniile incluziune sociala, educatie si
tineret.
Obiectivele specifice ale proiectului
1. OS1. Sa facilitam dezvoltarea pe termen lung a PDL prin sprijinirea incheierii altor minim 10 parteneriate functionale cel putin 6
luni de la finalizarea proiectului, parteneriate incheiate intre ONG-uri/parteneri sociali si autoritatea locala, intr-un termen de 12
luni;
2. OS2. Sa implicam minim 80 de persoane (din cadrul ONG-urilor, partenerilor sociale si autoritatii publice locale) in grupuri de
lucru si activitati de formare profesionala, pe parcursul a 12 luni;
3. OS3. Sa implicam permanent comunitatea locala (cetateni, grupuri informale, organizatii publice sau private, sindicate/patronate
etc.) in dezbaterile si grupurile tematice inovative constituite in cadrul PDL semnat cu autoritatea publica locala.</t>
  </si>
  <si>
    <t>C4C COMMUNICATION FOR COMMUNITY</t>
  </si>
  <si>
    <t>LEHLIU GARĂ – o comunitate incluzivă</t>
  </si>
  <si>
    <t>Lehliu Gară</t>
  </si>
  <si>
    <t>ASOCIAȚIA „ASSOCIATION COLOUR YOUR DREAMS”</t>
  </si>
  <si>
    <t>DigiConsultare pentru Dezvoltare Locală</t>
  </si>
  <si>
    <t>Cresterea capacitatii autoritatilor publice, ONG-urilor si partenerilor sociali din municipiul Targu Jiu, judetul Gorj, de a sustine si promova
dezvoltarea la nivel local intr-o maniera participativa si integrata, in conformitate cu principiile participarii tinerilor, egalitatii de sanse si
nediscriminarii, precum si a dezvoltarii durabile.                                                                                                                                                                                                                         Obiectiv 1: Capacitarea si motivarea a 60 de reprezentanti ai ONG-urilor si partenerilor sociali din municipiul Targu Jiu, judetul Gorj, de a
opera cu tematicile politici publice, tineret, metode de consultare, monitorizare si evaluare a politicilor publice, organizare
comunitara pentru a promova dezvoltarea locala.                                                                                                                                                                                                                      Obiectiv 2: Crearea unui mecanism de consultare a autoritatilor si institutiilor publice din municipiul Targu Jiu, judetul Gorj, cu ONG-urile,
partenerii sociali si cetatenii cu privire la elaborarea si implementarea politicilor si strategiilor la nivel local, cu focus pe domeniul
de tineret.</t>
  </si>
  <si>
    <t>Târgu Jiu</t>
  </si>
  <si>
    <t xml:space="preserve">AA1/3.06.2021 durata AA2/22.07.2022  durata  </t>
  </si>
  <si>
    <t>AA1/12.04.2021 durata si buget (ue si cb)  AA2/20.12.2021 durata, ue, bn, cb  AA3/22.07.2022 ue, cb, bn</t>
  </si>
  <si>
    <t>AA1/28.07.2021 durata   AA2/22.07.2022 durata</t>
  </si>
  <si>
    <t>AA1/22.07.2022 durata</t>
  </si>
  <si>
    <t>AA1/14.01.2022 durata                AA2/22.07.2022 durata</t>
  </si>
  <si>
    <t>ASOCIAȚIA ARES'EL</t>
  </si>
  <si>
    <t>Parteneriatul pentru Ploiești - consolidarea capacității ONG-urilor și partenerilor sociali din municipiul Ploiești și localitățile limitrofe de a se implica în formularea și promovarea dezvoltării la nivel local</t>
  </si>
  <si>
    <t>ASOCIAȚIA ANGELS GARDEN</t>
  </si>
  <si>
    <t>O comunitate dezvoltată, o comunitate fericită</t>
  </si>
  <si>
    <t>ASOCIAȚIA INOVATORIUM</t>
  </si>
  <si>
    <t>Dezvoltarea instrumentelor de consolidare a dialogului social și civic</t>
  </si>
  <si>
    <t>Asociația Consiliului Național al Întreprinderilor Private Mici și Mijlocii din România - Filiala Arad</t>
  </si>
  <si>
    <t>STRATEG AR + dezvoltare economică sustenabilă pentru viitorul Aradului</t>
  </si>
  <si>
    <t>Cresterea si intarirea capacitatii organizatiilor sectorului IMM din judetul Arad de a se implica in formularea de politici publice alternative
care sa contribuie la dezvoltarea economica locala a judetului Arad.                                                                                                                                                                            1.Dezvoltarea abilitatilor partenerilor sociali de a elabora si transpune in practica un Plan de dezvoltare locala a judetului Arad,
orientat catre Future Economy.Acest obiectiv se va realiza urmare a conlucrarii grupului tinta vizat- ONG uri, parteneri sociali,
autoritati publice locale - care vor avea abilitatea de a se implica in formularea uni instrument concret de dezvoltare a comunitatii
locale, respectiv Planul de dezvoltare al judetului Arad, bazat pe principiile Future Economy. Tototada, va fi intocmita si o analiza
a domeniilor vizate de Future Economy, cu aplicabilitate pentru economia judetului Arad.
2. Crearea si dezvoltarea unui mecanism consultativ la nivelul adminstratiei publice judetene capabil sa implementeze
instrumente de dezvoltare economica la nivelul judetului Arad.Acest obiectiv va fi atins prin constutirea si functionarea unui task
force, alcatuit din 20 de reprezentanti ai partenerilor sociali care, in baza analizei realizate cu privire la domeniile Future Economy
, vor contura etape concrete de implementare a Planului de dezvoltare.
3. Formarea unui corp de lideri din cadrul partenerilor sociali si ai administratiei publice judetene orientat catre promovarea
dezvoltarii durabile si a Future Economy in judetul Arad.</t>
  </si>
  <si>
    <t>ASOCIAȚIA MANAGEMENT ȘI COORDONARE</t>
  </si>
  <si>
    <t>Dezvoltare locală sustenabilă în Comuna ,,Costinești”</t>
  </si>
  <si>
    <t>Costinești, Constanța</t>
  </si>
  <si>
    <t>Obiectiv general: Dezvoltarea capacitatii ONG-urilor de a crea parteneriate viabile si durabile cu autoritati publice locale si de a se implica
in dezvoltarea la nivel local in comuna Costinesti.                                                                                                                                                                                                                       1. 1. OS1 Dezvoltarea unui parteneriat durabil intre Solicitant si autoritatile locale functional la 6 luni dupa finalizarea
proiectului
2. 2. OS2 Dezvoltarea competentelor si insusirea unui „know how’ specific pentru 40 reprezentanti ai ONG-urilor si
partenerilor sociali in vederea consolidarii abilitatilor pentru formularea si promovarea dezvoltarii la nivel local.
3. 3. OS3 Dezvoltarea responsabilitatii civice, de implicare a comunitatilor locale in viata publica si de participare la procesele
decizionale prin dezvoltarea a min 3 proiecte specifice la nivel local</t>
  </si>
  <si>
    <t>Fundația Zamolxes</t>
  </si>
  <si>
    <t>Implicarea cetățenilor în dezvoltarea comunității locală a Municipiului Câmpina - CIVCAMP</t>
  </si>
  <si>
    <t>Câmpina</t>
  </si>
  <si>
    <t>Drobeta-Turnu Severin</t>
  </si>
  <si>
    <t>Asociația de Dezvoltare Intercomunitara Zona Metropolitană Drobeta Turnu Severin</t>
  </si>
  <si>
    <t>Implicare activa a cetatenilor Zonei Metropolitane
Drobeta Turnul Severin in dezvoltarea locala</t>
  </si>
  <si>
    <t>AA1/24.11.2021 durata si buget (ue, bn, cb, cp)             AA2/27.07.2022 durata si buget (ue, bn, cb)</t>
  </si>
  <si>
    <t>AA1/26.07.2022 durata</t>
  </si>
  <si>
    <t>AA1/19.08.2020 prelungire si diminuare buget AA2/7.06.2021 durata      AA3/26.06.2022 durata</t>
  </si>
  <si>
    <t>AA1/27.07.2022 durata</t>
  </si>
  <si>
    <t>Fundația ,,Roma Education Fund Romania"</t>
  </si>
  <si>
    <t>EDUCAȚIE EGALĂ – Împreună pentru copii</t>
  </si>
  <si>
    <t>Gomești</t>
  </si>
  <si>
    <t>Obiectivul general al proiectului :
Dezvoltarea capacitatii organizatiilor neguvernamentale din domeniul educatiei de a colabora cu institutiile administratiei publice din
Romania in formularea politicilor publice referitoare la reducerea inegalitatilor scolare si accesul la o educatie egala pentru grupuri
vulnerabile.                                                                                                                                                                                                                                                                                                                   O.S.1: Implementarea unui program de identificare, monitorizare, analiza si propuneri de imbunatatire a politicilor publice din
Romania din perspectiva reducerii inegalitatii scolare.                                                                                                                                                                                                           O.S.2: Dezvoltarea competentelor cheie pentru 30 membri ONG din domeniul educatiei de la nivel local, regional si national, de a
elabora propuneri de imbunatatire a politicilor publice in domeniul egalitatii de sanse in educatie pentru grupuri vulnerabile.                                        O.S.3: Organizarea si consolidarea cadrului partenerial pentru dezvoltare locala in domeniul egalitatii de sanse in educatie la
nivelul institutiilor publice de la nivel local, regional si central.</t>
  </si>
  <si>
    <t>Asociația Centrul Român de Politici Europene</t>
  </si>
  <si>
    <t>Parteneriat pentru Dezvoltare locală în domeniul ocupării tinerilor din Învățământul Profesional și Tehnic din municipiile Piatra Neamț si Resița prin formare, consultare si dialog</t>
  </si>
  <si>
    <t xml:space="preserve">5, 6 </t>
  </si>
  <si>
    <t>Reșita, Piatra Neamț</t>
  </si>
  <si>
    <t>Caraș-Severin, Neamț</t>
  </si>
  <si>
    <t>Asociația Coaliția Organizațiilor Pacientilor cu Afecțiuni Cronice din România (C.O.P.A.C.-RO)</t>
  </si>
  <si>
    <t>Dezvoltarea politicilor sociale si de sanatate din judetul
Iași</t>
  </si>
  <si>
    <t>ASOCIAŢIA
"COPILUL MEU -
INIMA MEA"</t>
  </si>
  <si>
    <t>Obiectivul general al proiectului este dezvoltarea capacitatii organizatiilor neguvernamentale din domeniul social si sanatate si a
autoritatilor locale partenere de a se implica în formularea si promovarea dezvoltarii a doua noi politici privind in domeniul social si
sanatate.                                                                                                                                                                                                                                                                                                                      1. Realizarea a doua parteneriate de dezvoltare locala (PDL) pe raza Judetului Iasi, functionale la 6 luni dupa finalizarea
proiectului;
2. Cresterea nivelului de pregatire a unui numar de 52 reprezentanti ai ONG-urilor sociale si de sanatate locale si a
reprezentantilor autoritatilor locale;
3. Dezvoltarea unui instrument de monitorizare a politicilor din domeniul social si sanatate la nivelul judetului Iasi;
4. Dezvoltarea a doua politici locale in domeniul social si sanatate in judetul Iasi cu implicarea a 40 de reprezentanti ai autoritatilor
locale (reprezentanti alesi si angajati), si 10 cetateni, beneficiari ai serviciilor sociale si de sanatate din judetul Iasi participanti la
fundamentarea propunerilor de politici publice in domeniul social si sanatate.</t>
  </si>
  <si>
    <t>Asociația pentru Democrație și Echitate Socială - ADESEA</t>
  </si>
  <si>
    <t>Eficiență și implicare pentru dezvoltare</t>
  </si>
  <si>
    <t>Asociația Mâini Întinse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</si>
  <si>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Nufarul.                                                                                       OS.1. Cresterea capacitatii societatii civile (ONG-uri si parteneri sociali) de a se implica in formularea si promovarea dezvoltarii la
nivel local prin includerea in cursuri de formare profesionala care vizeaza politicile publice si dezvoltarea locala pentru 40 de
cetateni din comuna Nufarul.                                                                                                                                                                                                                                                                           OS.2. Cresterea calitatii administratiei publice in Nufarul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</si>
  <si>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Asociația pentru Implementarea și Dezvoltarea Culturii Antreprenoriale</t>
  </si>
  <si>
    <t>Dezvoltare locală prin parteneriat social</t>
  </si>
  <si>
    <t>Hinova, Șimian</t>
  </si>
  <si>
    <t>Fundația CIVITAS pentru Societatea Civilă Cluj</t>
  </si>
  <si>
    <t>Parteneriat pentru dezvoltarea administrației inteligente în comuna Cojocna</t>
  </si>
  <si>
    <t>Obiectivul general al proiectului este de a formula si promova dezvoltarea inteligenta la nivelul comunitatii Cojocna prin crearea Fondului
de Dezvoltare Locala, dezvoltarea unui mecanism de implicare a organizatiilor neguvermamentale si a cetatenilor in comunitate si in
procesul de luare a deciziilor (cetatenie activa) si identificarea de initiative smart pentru dezvoltarea administratiei inteligente in comuna
Cojocna.
Obiectivele specifice ale proiectului
1. Obiectivul specific 1 este de a dezvolta capacitatea Fundatiei Civitas si a Primariei Cojocna de a se implica in promovarea
dezvoltarii comunei Cojocna ca o comunitate inteligenta prin implicarea a 60 de persoane (angajati si voluntari ai Fundatiei
Civitas, angajati ai Primariei Cojocna si angajati ai ONG-urilor care activeaza in Cojocna) in activitati de imbunatatire a
cunostintelor. OS1 va fi realizat prin derularea activitatilor A1 si A3.
2. Obiectivul specific 2 este de a dezvolta un mecanism de implicare si consultare a organizatiilor neguvernamentale si a cetatenilor
din comunitatea Cojocna in ceea ce priveste initiativele locale de dezvoltare care se doresc a fi implementate la nivelul comunitatii
cu scopul replicarii acestui model dupa finalizarea proiectului. OS2 va fi realizat prin derularea activitatii A4.
3. Obiectivul specific 3 este de a crea un Fond de Dezvoltare Locala pentru sprijinirea initiativelor inteligente in comunitatea
Cojocna. OS3 va fi realizat prin derularea activitatii A2.</t>
  </si>
  <si>
    <t>Cojocna</t>
  </si>
  <si>
    <t>"Societatea Națională de Cruce Roșie din România" Filiala Vrancea</t>
  </si>
  <si>
    <t>Competențe civice în Vrancea</t>
  </si>
  <si>
    <t>Asociația - Centrul de Analiză și Inovare Economico - Socială</t>
  </si>
  <si>
    <t>Adjud, Pufești</t>
  </si>
  <si>
    <t>FUNDAȚIA COMUNITARĂ MUREȘ</t>
  </si>
  <si>
    <t>EDUSIG - Educație pentru siguranță</t>
  </si>
  <si>
    <t>ASOCIAȚIA ”PATRONATUL TINERILOR ÎNTREPRINZĂTORI DIN ROMÂNIA”</t>
  </si>
  <si>
    <t>Creșterea capacității PTIR de a se implica în promovarea antreprenoriatului la nivel local</t>
  </si>
  <si>
    <t>Asociația Pacienților Oncologici Călărași</t>
  </si>
  <si>
    <t>Dezvoltarea serviciilor locale de îngrijire a pacienților oncologici în județul Călărași</t>
  </si>
  <si>
    <t>Asociaţia CREST</t>
  </si>
  <si>
    <t>3, 6</t>
  </si>
  <si>
    <t>Satu-Mare, Călărași</t>
  </si>
  <si>
    <t>FEDERATIA ORGANIZAȚIILOR RÂMNICENE DE TINERET, EDUCAȚIE ȘI SPORT</t>
  </si>
  <si>
    <t>Tinerii și societatea civilă - mecanisme de dezvoltare locală</t>
  </si>
  <si>
    <t>2, 3, 4</t>
  </si>
  <si>
    <t>Puiești, Constanța, Dâmbovița, Giurgiu, Prahova, Gorj</t>
  </si>
  <si>
    <t>Asociaţia Socio-Culturală "SFÂNTUL IOAN BOTEZĂTORUL"</t>
  </si>
  <si>
    <t>Implicarea activa a societatii civile in
dezvoltarea comunitatii locale</t>
  </si>
  <si>
    <t>Obiectivul general al proiectului consta in dezvoltarea capacitatii administrative a organizatiilor non-guvernamentale si a partenerilor
sociali, pentru a sustine optimizarea proceselor de programare si cresterea competitivitatii economice in orasul Berbesti si in regiunea
SV Oltenia, prin operationalizarea unui grup consultativ civic, actiuni de formare si schimburi de experienta precum si prin elaborarea de
proceduri pentru eficientizarea monitorizarii activitatii autoritatilor publice locale. De asemenea, ne propunem cresterea implicarii
cetatenilor in comunitate si in procesul de luare a deciziilor (cetatenie activa), oferind tuturor varstelor si grupurilor sociale oportunitatea de a se implica in actiuni voluntare, initiative care contribuie la promovarea si respectarea valorilor democratice si a drepturilor omului.               1. OS 1 Crearea unei bune guvernante transparenta si in concordanta cu nevoile reale ale comunitatii.
2. OS2 Cresterea rolului cetatenilor identificarea nevoilor de dezvoltare la nivelul comunitatii si sprijinirea autoritatii locale in
demararea actiunilor pentru realizarea unei strategii de dezvoltare pe termen mediu si lung
3. OS3 Informarea si formarea grupului tinta/cetatenilor cu privire la rolul si posibilitatile de participare activa la luarea deciziilor de
dezvoltare a localitatii.</t>
  </si>
  <si>
    <t>Berbesti</t>
  </si>
  <si>
    <t>Asociația pentru Cooperare și Dezvoltare Durabilă</t>
  </si>
  <si>
    <t>Dezvoltarea educației și a transparenței în județul Giurgiu</t>
  </si>
  <si>
    <t>Asociația Regională pentru Dezvoltare Antrepre-norială Oltenia</t>
  </si>
  <si>
    <t>Giurgiu, Călugăreni, Comana, Hotarele, Bolintin-Vale, Mihăilești, Prundu</t>
  </si>
  <si>
    <t>Fundația World Vision România</t>
  </si>
  <si>
    <t>Consolidarea capacitatii locale prin crearea de
parteneriate pentru dezvoltare</t>
  </si>
  <si>
    <t>Lipovăț, Muntenii de Jos</t>
  </si>
  <si>
    <t>AA1/29.07.2022 durata si ue, cb, bn</t>
  </si>
  <si>
    <t>AA1/17.12.2019 AA2/5.02.2021 durata   AA3/1.08.2022 durata</t>
  </si>
  <si>
    <t>AA1/6.10.2020 durata AA2/7.10.2021 durata  AA3/1.08.2022 durata si ue, cb</t>
  </si>
  <si>
    <t>AA1/5.08.2022 durata</t>
  </si>
  <si>
    <t>AA1/20.04.2022 durata AA2/2.08.2022 bn si cb</t>
  </si>
  <si>
    <t>AA1/1.08.2022 durata</t>
  </si>
  <si>
    <t>AA1/2.08.2022 durata</t>
  </si>
  <si>
    <t>Asociația ”Ajutor Umanitar și Caritabil” Ciulnița</t>
  </si>
  <si>
    <t>Parteneriatul pentru Ciulnița - consolidarea capacității ONG-urilor și partenerilor sociali din comuna Ciulnița și localitățile limitrofe de a se implica în formularea și promovarea dezvoltării la nivel local</t>
  </si>
  <si>
    <t>ASOCIAȚIA DEZVOLT</t>
  </si>
  <si>
    <t>Inițiative de dezvoltare a responsabilității civice în procese decizionale și dezvoltare durabilă</t>
  </si>
  <si>
    <t>Ciulnița</t>
  </si>
  <si>
    <t>Parteneriat pentru dezvoltarea sustenabilă a comunei Polovragi</t>
  </si>
  <si>
    <t>Polovragi</t>
  </si>
  <si>
    <t>Obiectivul general al prezentului proiect consta în implicarea activa a Asociatiei Centrul pentru Dezvoltare Durabila Columna in
dezvoltarea comunei Polovragi prin sustinerea si promovarea oportunitatilor existente la nivelul acestei comunitati.
Obiectivele specifice ale proiectului
1. OS. 1: Sprijinirea administratiei locale si a cetatenilor in identificarea si valorificarea oportunitatilor locale prin instrumente
moderne
2. OS 2: Consolidarea capacitatii Asociatiei Centrul pentru Dezvoltare Durabila Columna si a comunitatii locale in utilizarea
corespunzatoare a instrumentelor dezvoltate</t>
  </si>
  <si>
    <t>ASOCIAȚIA OAMENI SI MEDIU OLTENIA</t>
  </si>
  <si>
    <t>Guvernare modernă-Dezvoltare locală în comuna Fărcașele</t>
  </si>
  <si>
    <t>Dezvoltarea durabila a comunei Farcasele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Realizarea de instrumente de monitorizare si evaluare independenta a politicilor si strategiilor de dezvoltare a comunei Farcasele
pe parcursul implementarii proiectului.
2. Realizarea de proceduri, mecanisme pentru sustinerea si promovarea dezvoltarii la nivel local si de interactiune cu autoritatile si
institutiile administratiei publice din comuna Farcasele pe parcursul implementarii proiectului.
3. Dezvoltarea si implementarea mecanismelor de consultare a autoritatilor si institutiilor publice din comuna Farcasele cu ONGurile,
partenerii sociali si a cetatenilor în elaborarea politicilor si strategiilor la nivel local pe parcursul implementarii proiectului.
4. Dezvoltarea de mecanisme, proceduri, instrumente de consolidare a dialogului social si civic la nivelul comunei Farcasele pe
parcursul implemenatarii proiectului.
5. Dezvoltarea capacitatii partenerilor sociali din comuna Farcasele si a ONG-urilor din judetul Olt prin formare profesionala, activitati
întreprinse în comun, infiintarea unor retele tematice regionale si nationale pe parcursul implementarii proiectului.
6. Sprijinirea de initiative de dezvoltare a responsabilitatii civice, de implicare a comunitatilor locale din comuna Farcasele în viata
publica si de participare la procesele decizionale, de promovare a egalitati de sanse si nediscriminarii, precum si a dezvoltarii
durabile pe parcursul implementarii proiectului</t>
  </si>
  <si>
    <t>Dolj, Olt</t>
  </si>
  <si>
    <t>Craiova, Farcasele</t>
  </si>
  <si>
    <t>ASOCIAȚIA HANDMADE ROMÂNIA</t>
  </si>
  <si>
    <t>Dezvoltare locală sustenabilă în Comuna Ion Corvin</t>
  </si>
  <si>
    <t>Obiectiv general: Dezvoltarea capacitatii ONG-urilor de a crea parteneriate viabile si durabile cu autoritati publice locale si de a se implica
in dezvoltarea la nivel local in Comuna Ion Corvin.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</si>
  <si>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Ion Corvin</t>
  </si>
  <si>
    <t>ASOCIAȚIA "INSTITUTUL PENTRU PARTENERIAT SOCIAL BUCOVINA"</t>
  </si>
  <si>
    <t>Construim împreună viitorul Comunei Stulpicani</t>
  </si>
  <si>
    <t>ASOCIAȚIA PREGO</t>
  </si>
  <si>
    <t>Stulpicani</t>
  </si>
  <si>
    <t>ASOCIAȚIA PRO DEMOCRAȚIA</t>
  </si>
  <si>
    <t>E-consultare publică în județul Giurgiu</t>
  </si>
  <si>
    <t>ASOCIAȚIA INSTITUTUL SOCIAL VALEA JIULUI</t>
  </si>
  <si>
    <t>Hunedoara civică 2021-2022</t>
  </si>
  <si>
    <t>Petrosani, Vulcan, Petrila</t>
  </si>
  <si>
    <t>Asociația Clusterul Comunitar de Economie Socială - ACCES</t>
  </si>
  <si>
    <t>ACCES la dezvoltare</t>
  </si>
  <si>
    <t>Proiectul isi propune consolidarea capacitatii ONG-urilor si partenerilor sociali din Judetul Brasov de a se implica in formularea si
promovarea dezvoltarii la nivel judetean, impreuna cu Autoritatea publica locala, cu accent pe domeniile asistenta sociala, economie
sociala si voluntariat.
Obiectivele specifice ale proiectului
1. OS1. Sa facilitam consolidarea PDL prin sprijinirea incheierii a minim 30 de alte Parteneriate functionale cel putin 6 luni de la
finalizarea proiectului, parteneriate incheiate intre ONG-uri/parteneri sociali si o autoritate locala, intr-un termen de 12 luni;
2. OS2. Sa implicam minim 120 de persoane (din cadrul ONG-urilor, partenerilor sociale si autoritatii publice locale) in grupuri de
lucru si activitati de formare profesionala, pe parcursul a 12 luni;
3. OS3. Sa consolidam capacitatea interna a organizatiei ACCES prin atragerea de noi membrii (persoane juridice) ce se vor implica
in dezbaterile si grupurile tematice inovative constituite in cadrul PDL semnat cu autoritatea publica judeteana.</t>
  </si>
  <si>
    <t>ASOCIAȚIA PENTRU PROMOVAREA VALORILOR RURALE „FUIORUL”</t>
  </si>
  <si>
    <t>Eficientizarea administrațiilor publice la nivel local</t>
  </si>
  <si>
    <t>1, 4</t>
  </si>
  <si>
    <t>Botoșani, Dolj</t>
  </si>
  <si>
    <t>Cristinesti, Vârtop</t>
  </si>
  <si>
    <t>Federația Sindicatelor Libere și Independente "Petrol-Energie"</t>
  </si>
  <si>
    <t>Consolidarea capacității ONG-urilor și
partenerilor sociali de a se Implica în formularea și promovarea dezvoltării la nivel local</t>
  </si>
  <si>
    <t>ASOCIAȚIA "ROMÂNIA PRINDE RĂDĂCINI"</t>
  </si>
  <si>
    <t>Dialog social și civic pentru dezvoltare locală sustenabilă</t>
  </si>
  <si>
    <t>Uniunea Națională a Patronatului Român-Regiunea Nord Est-AFJ</t>
  </si>
  <si>
    <t>Dezvoltarea orașului Comănești, județ Bacău, prin implicarea partenerilor sociali</t>
  </si>
  <si>
    <t>c</t>
  </si>
  <si>
    <t>Comanesti</t>
  </si>
  <si>
    <t>ASOCIAȚIA CENTRUL PENTRU O SOCIETATE DURABILĂ</t>
  </si>
  <si>
    <t>Civic Crowdfunding</t>
  </si>
  <si>
    <t>Parteneriat în dezvoltarea de politici sociale la
nivel local</t>
  </si>
  <si>
    <t>Asociația Ateliere fără Frontiere</t>
  </si>
  <si>
    <t>Noul București - o capitală a tuturor</t>
  </si>
  <si>
    <t>Mobilitate 2.0 - Planificare Strategică și administrație publică digitalizată la nivelul regiunii București – Ilfov</t>
  </si>
  <si>
    <t>Asociația de Dezvoltare Intercomunitară pt Transport Public București-Ilfov</t>
  </si>
  <si>
    <t>Obiectivul general al proiectului consta in imbunatatirea capacitatii administrative la nivelul regiunii Bucuresti - Ilfov prin dezvoltatea
capacitatii de planificare strategica, eficientizarea proceselor de management si simplificarea procedurilor administrative, pentru a
raspunde in mod fundamentat si coerent nevoilor comunitatilor locale.
Obiectivele specifice ale proiectului
1. 1. OS 1 Dezvoltarea capacitatii de planificare strategica la nivelul regiunii Bucuresti - Ilfov prin actualizarea Planului de
Mobilitate Urbana Durabila 2016 – 2030 regiunea Bucuresti - Ilfov si a portofoliului de proiecte prioritare ale regiunii, dar si a
modelului de transport ce sta la baza PMUD.
2. OS 2 Eficientizarea si simplificarea serviciilor furnizate cetatenilor de catre Comisia Tehnica de Circulatie a Municipiului
Bucuresti prin extinderea procesului de digitalizare si scaderea timpilor de acces la documentele din arhiva
3. OS 3 Intarirea capacitatii institutionale a Municipiului Bucuresti si a Asociatiei de Dezvoltare Intercomunitara pentru
Transport Public Bucuresti-Ilfov prin pregatirea adecvata a personalului in domeniul planificarii strategice si a modelarii in
transporturi.</t>
  </si>
  <si>
    <t>CP18more/2022</t>
  </si>
  <si>
    <t>Sectorul 3 al Municipiului București</t>
  </si>
  <si>
    <t>Măsuri de simplificare pentru cetățenii sectorului 3</t>
  </si>
  <si>
    <t>Administrație publică digitalizată și eficientă pentru cetățenii sectorului 2</t>
  </si>
  <si>
    <t>Implementarea / consolidarea si sustinerea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</si>
  <si>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Implementarea unui sistem de management al calitatii si performantei integrat si eficient, prin autoevaluarea CAF, standardizarea proceselor de lucru, recertificarea ISO:9001 si dezvoltarea abilitatilor personalului din cadrul UAT Primariei Municipiului Aiud, în vederea optimizarii proceselor orientate catre beneficiari, în concordanta cu SCAP                                                                                                                                                             Obiectiv Specific 1: Dezvoltarea unui sistem unitar de management al calitatii si performantei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actiuni de identificare a bunelor practici si networking între institutii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cunostintelor si abilitatilor a 30 de persoane, însemnând personal din cadrul Primariei Municipiului Aiud, prin participarea la cursuri de formare profesionala pe teme specific de interes precum managementul calitattii si managementul performanței, în vederea sprijinirii masurilor si acțiunilor de OS2.1 si implicit de proiect pentru optimizarea proceselor orientate catre beneficiari.</t>
  </si>
  <si>
    <t>Obiectiv Specific 1: Dezvoltarea unui mecanism eficient de prevenire a coruptiei în cadrul unitatii administrativ-teritoriale Primaria Municipiului Aiud, prin elaborarea si/sau actualizarea a minimum 7 proceduri de sistem/operationale privind indicatorii anticoruptie, în concordanta cu Strategia Nationala Anticoruptie 2016 – 2020.
Obiectiv Specific 2: Implementarea mecanismului de prevenire a coruptiei la nivelul UAT Municipiul Aiud, prin dispozitie de primar, cu ajutorul unui manual de implementare elaborat în cadrul proiectului.
3. Obiectiv Specific 3: Instruirea si certificarea a 30 de persoane, însemnând personal de conducere si de executie din cadrul Primariei Municipiului Aiud, prin intermediul unui curs de formare pe tematici privind importanta eticii si integritatii în institutia publica.</t>
  </si>
  <si>
    <t>Obiectiv general:
Cresterea capacitatii administrative de a preveni si reduce coruptia în ansamblul institutiilor publice locale din UAT Sebes prin aplicarea
unitara a mecanismelor, procedurilor si normelor de etica si integritate si îmbuntatirea cunostintelor si competentelor în ceea ce priveste
prevenirea coruptiei.                                                                                                                                                                                                                                OS1: Dezvoltarea de proceduri operationale privind masurile preventive anticoruptie si indicatorii de evaluare aferenti;                                                    OS2: Cresterea gradului de implementare a masurilor referitoare la prevenirea coruptiei si a indicatorilor de evaluare în autoritatile
si institutiile publice;
OS3: Aplicarea unitara a normelor, mecanismelor si procedurilor în materie de etica si integritate în autoritatile si institutiile
publice;
OS4: Cresterea nivelului de educatie anticoruptie pentru personalul din autoritatile si institutiile publice;</t>
  </si>
  <si>
    <t>Obiectivul general consta în îmbunatatirea capacitatii administrative, a calitatii si eficientei serviciilor publice furnizate la nivelul UAT
Municipiul Sebes, judetul Alba, din Regiunea Centru, prin investitii integrate si complementare conform reglementarilor europene si
nationale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eficienta actiunilor adimintrative la nivelul Municipiului Sebes. OS 1 se va îndeplini prin Activitatea 7 si va conduce la atingerea
rezultatului de program POCA R1.
2. OS 2. Masuri de simplificare a procedurilor administrative si reducerea birocratiei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</si>
  <si>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Obiectivul general: îmbunatatirea procesului decizional, a planificarii strategice si reducerea birocratiei pentru cetateni, prin dezvoltarea si
implementarea de masuri precum: un mecanism pentru fundamentarea deciziilor, doua politici publice, un plan strategic institutional, doua
strategii sectoriale, solutii informatice integrate, ca si prin îmbunatatirea cunostintelor personalului pentru implementarea masurilor
dezvoltate în proiect.
Obiectiv specific 1: Îmbunatatirea procesului de fundamentare a deciziilor la nivelul UAT Primaria Municipiului Aiud prin
elaborarea a doua politici publice în domenii prioritare la nivelul UAT.
Obiectiv specific 2: Îmbunatatirea procesului de planificare strategica la nivelul UAT Primaria Municipiului Aiud prin elaborarea si
aprobarea unui plan strategic institutional (PSI) aferent anilor 2020 – 2021, precum si a doua strategii sectoriale aferente anilor
2021 – 2025 în domeniile sanatate si asistenta sociala.
Obiectiv specific 3: Simplificarea procedurilor administrative si reducerea birocratiei pentru cetateni la nivel local, prin dezvoltarea
si implementarea unui pachet de solutii informatice integrate de tip front-office si back-office, în vederea accesului online la
serviciile gestionate exclusiv de UAT si digitalizarea documentelor din arhiva institutiei.
Obiectiv specific 4:Dezvoltarea abilitatilor personalului din UAT Primaria Municipiului Aiud si institutiile din subordinea consiliului
local, pe teme specifice de interes care au legatura cu OS2.1 si cu obiectivul general al proiectului, incluzând politici publice
locale, planificare strategica, utilizarea sistemelor informatice dezvoltate în proiect.</t>
  </si>
  <si>
    <t>Obiectivul general al proiectului
Obiectivul general al proiectului consta in consolidarea capacitatii institutionale si eficientizarea activitatii la nivelul Municipiului Aiud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sigurantei si ordinii publice.
2. OS2: Dezvoltarea cunostintelor si abilitatilor personalului din cadrul Municipiului Aiud,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</si>
  <si>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operationale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</si>
  <si>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situatia actuala a managementului performantei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</si>
  <si>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Îmbunatatirea corelarii între masurile si planurile de actiune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corespondenta cu Planul Integrat pentru simplificarea
procedurilor administrative aplicabile cetațenilor, atât din perspectiva back-office (adaptarea procedurilor interne de lucru,
digitalizarea arhivelor), cât si front-office
4. OS4. Dezvoltarea cunostintelor si abilitaților personalului din cadrul Primariei Municipiului Arad, în vederea sprijinirii masurilor
vizate de proiect. Este avuta în vedere formarea/instruirea,evaluarea/testarea si certificarea competentelor/cunostintelor
dobândite pentru 75 persoane din cadrul grupului tinta, în ceea ce priveste planificarea strategica. Obiectivul general al serviciilor
de instruire îl constituie familiarizarea persoanelor din grupul tinta cu implicatiile conceptului de planificarea strategica.</t>
  </si>
  <si>
    <t>Îmbunatațirea capacitatii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</si>
  <si>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este îmbunatatirea calitatii si accesibilitatii serviciilor publice aferente competentelor partajate oferite de
Primaria Municipiului Arad, prin simplificarea procedurilor administratiei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</si>
  <si>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 xml:space="preserve">1. Etapizarea introducerii unui Plan de acțiuni în cadrul Consiliul Judetean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</si>
  <si>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Îmbunatatirea planificarii strategice institutionale si simplificarea procedurilor implementate la nivelul Consiliului Judetean Arges
Obiectivele specifice ale proiectului
1. Elaborarea Strategiei pentru Dezvoltare Durabila a Judetului Arges - instrument de planificare a investitiilor locale
2. Simplificarea procedurilor la nivel judetean prin digitalizarea documentelor si implementarea unei solutii informatice pentru
administrarea acesteia
3. Îmbunatatirea cunostintelor si abilitatilor personalului din cadrul Consiliului Judetean Arges în domeniul managementului strategic
si în utilizarea si administrarea solutiei informatice dezvoltate prin proiect</t>
  </si>
  <si>
    <t>Obiectivul general al proiectului/Scopul proiectului
Consolidarea capacitatii institutionale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Institutional si a Strategiei de Transformare Digitala a
Municipiului Câmpulung si proiectarea unui proces de management eficient, care sa corespunda nevoilor institutiei.
2. Implementarea si certificarea Sistemului de Management al Calitatii ISO 9001:2015 la nivelul UAT Municipiul Câmpulung
3. Optimizarea procedurilor administrative interne în raport cu beneficiarii serviciilor publice, în scopul reducerii birocratiei, prin
implementarea unui ecosistem digital integrat si dezvoltarea abilita</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</si>
  <si>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abilitatilor personalului UAT Judetul Bacau pe tema aplicarii sistemelor unitare de management al calitatii si
performantei prin organizarea a 2 programe de formare (auditor de calitate, expert CAF) la care vor participa 75 persoane.
</t>
  </si>
  <si>
    <t>Obiectivul general al proiectului consta in consolidarea capacitatii institutionale si eficientizarea activitatii la nivelul Municipiului Onesti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cetatenilor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informationale ale instituției, reducând astfel întârzierile în procesul decizional cu impact asupra activitatilor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cunostintelor si abilitatilor personalului din cadrul Municipiului Onesti,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t>
  </si>
  <si>
    <t>Obiectivul general al proiectului consta in consolidarea capacitații instituționale si eficientizarea activitații la nivelul Municipiului Onesti prin continuarea simplificarii procedurilor administrative si reducerea birocratiei pentru cetațeni, implementând masuri din perspectiva backoffice (adaptarea procedurilor interne de lucru, digitalizarea arhivelor) si front-office pentru serviciile publice furnizate aferente
competentelor partajate ale administratiei publice locale.
Obiectivele specifice ale proiectului
1. OS1: Implementarea unor masuri de simplificare pentru cetațeni, in corespondenta cu Planul integrat pentru simplificarea
procedurilor administrative aplicabile cetatenilor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solutiilor informatice implementate in cadrul proiectului</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</si>
  <si>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administratii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</si>
  <si>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concordanta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cetateni în conformitate cu Planul integrat pentru
simplificarea procedurilor administrative pentru cetateni elaborat la nivel national.(R3)
OS1.3. Activitatea de instruire a 173 de persoane din cadrul grupulu tinta urmareste cresterea competentelor de utilizare a
sistemelor informatice realizate si implementate prin proiect, ceea ce va contribui la atingerea R 5 - Personal din administratia
publica locala care participa la activitati de instruire legata de OS 2.1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</si>
  <si>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</si>
  <si>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institutional si proceduri pentru bugetarea participativa) pentru a creste eficienta actiunilor adimintrative la nivelul Primariei
Municipiului Onesti.
2. OS2. Implementarea si utilizarea instrumentelor de management al calitatii, performantei si planificarii strategice CAF, ISO
9001:2015 si Balanced Scored Card la nivelul Municipiului Onesti pentru sustinerea schimbarii in vederea obtinerii de
performanta, de îmbunatatire a modului de realizare a activitatilor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calitatii se va realiza ca parte a procesului de implementare al acestui sistem.</t>
  </si>
  <si>
    <t>Obiectivul principal al proiectului consta in cresterea eficientei administrative la nivelul Municipiului Bacau prin implementarea unui sistem
informatic de automatizare a unor servicii publice pentru care municipalitatea detine competente partajate, sistem cu componente front
office pentru interactiunea electronica cu cetatenii, precum si back-office pentru gestiunea fluxului de activitati necesare pentru rezolvarea
cererilor si pentru constituirea bazelor de date interne cu informatii privind serviciile furnizate.
Obiectivele specifice ale proiectului
1. Cresterea accesibilitatii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si eficientizare a interactiunii front-office: implementarea în cadrul portalului web a unor servicii
electronice, ca alternativa la modalitatea traditionala de solicitare/furnizare a serviciilor publice.
2. Îmbunatatirea abilitatilor si cunostintelor personalului municipiului Bacau pentru utilizarea sistemelor informatice dezvoltate prin
proiect si pentru gestionarea fluxurilor de activitati si de documente electronice.
3.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t>
  </si>
  <si>
    <t xml:space="preserve">Obiectivul general al proiectului il reprezinta introducerea sistemelor si standardelor comune la nivelul Consiliului Judetean Bihor pentru optimizarea proceselor orientate catre beneficiari în concordanta cu SCAP si dezvoltarea abilitatilor in domeniul managementului calitatii a angajatilor din administratia publica si alesilor locali din judetul Bihor
Obiectivele specifice ale proiectului 
1. Obiectivul Specific 1 Implementarea sistemului de management al calitatii si obtinerea certificarii ISO 9001:2015
2. Obiectivul Specific 2 Îmbunatatirea cunostintelor si abilitatilor a 50 de persoane angajate in administratia publica a judetului Bihor si/sau alesi locali, prin organizarea de cursuri în domenii care sa asigure o mai buna administrare a patrimoniului judetului si
organizarea mai eficienta, orientata spre calitate </t>
  </si>
  <si>
    <t>Obiectivul general al proiectului consta in consolidarea capacitatii institutionale si eficientizarea activitatii la nivelul Municipiului Oradea prin simplificarea procedurilor administrative si reducerea birocratiei pentru cetateni, implementând masuri din perspectiva back-office
(adaptarea procedurilor interne de lucru, digitalizarea arhivelor) si front-office pentru serviciile publice furnizate.
Obiective specifice:
OS 1 - Implementarea unor masuri de simplificare pentru cetateni, in corespondenta cu Planul integrat pentru simplificarea procedurilor
administrative aplicabile cetatenilor din perspectiva front-office, dar si back-office prin dezvoltarea si adaptarea aplicatilor existente si introducerea unor solutii aplicative noi (arhivare electronica, captura documente, fluxuri de lucru si management arhiva fizica de documente) care vor furniza digital fluxurile de lucru de baza din cadrul institutiei,
OS 2 - Dezvoltarea cunostintelor si abilitatilor personalului din cadrul Municipiului Oradea, in vederea sprijinirii masurilor vizate de
proiect.</t>
  </si>
  <si>
    <t>Fundamentarea si implementarea unui management strategic performant în administratia publica din judetul Bihor.
Obiectivele specifice ale proiectului
1. OS 1. Sustinerea procesului decizional la nivelul administratiei publice locale din judetul Bihor, pentru a raspunde în mod
fundamentat si coerent nevoilor comunitatilor locale, prin elaborarea si diseminarea Strategiei de dezvoltare durabila a judetului
Bihor pe perioada 2021-2026, precum si a celor doua Ghiduri specifice, care au aplicabilitate pentru Consiliul Judetean Bihor
pentru UAT-urile din judet si unitatile subordonate consiliului judetean.
2. OS 2. Optimizarea utilizarii resurselor software si hardware existente în vederea simplificarii pentru reducerea birocratiei pentru
cetateni la nivel local.
3. OS 3. Îmbunatatirea corelarii componentei bugetare cu componenta strategica prin dezvoltarea abilitatilor si capacitatilor
angajatilor si alesilor locali ai Consiliului Judetean Bihor, prin participarea la 4 programe de formare.
4. OS 4. Cresterea coerentei, eficientei si transparentei procesului decizional prin transfer de know-how în domeniul dezvoltarii si
cooperarii institutionale si internationale, prin participarea angajatilor cosiliului judetean la vizite de studiu la institutii nationale si
internationale, si organizarea de 2 workshop-uri specifice.</t>
  </si>
  <si>
    <t>Obiectivul general al proiectului consta în: consolidarea capacitatii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</si>
  <si>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Implementarea de masuri de simplificare pentru cetateni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interactiune cu cetatenii - serviciile publice online</t>
  </si>
  <si>
    <t>Consolidarea capacitatii Consiliului Judetean Bistrita-Nasaud de a asigura calitatea si accesul la serviciile publice oferite exclusiv de
institutie prin simplificarea procedurilor administratiei locale si reducerea birocrației.
Obiectivele specifice ale proiectului
 1. Implementarea unor masuri de simplificare pentru cetateni si firme,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Consiliului Judetean Bistrita-Nasaud, în vederea sprijinirii
masurilor vizate de proiect. Este avuta în vedere formarea/instruirea, evaluarea/testarea si certificarea
competentelor/cunostintelor dobândite pentru 100 de persoane din cadrul grupului tinta, în ceea ce priveste planificarea
strategica. Obiectivul general al serviciilor de instruire îl constituie familiarizarea persoanelor din grupul tinta cu implicatiile
conceptului de planificarea strategica;
3. Elaborarea criteriilor de prioritizare a investitiilor in sectoarele: sanatate, asistenta sociala, infrastructura de mediu si transport
pentru realizarea bugetului Consiliului Judetean Bistrita-Nasaud aferent anului 2021.</t>
  </si>
  <si>
    <t>Obiectivul general al proiectului
Furnizarea de servicii mai bune intr-un mod mai eficient si orientat catre cetateni prin utilizarea tehnologiei digitale si a inteligentei
artificiale in domeniul urbanismului si al asistentei sociale.
Obiectivele specifice ale proiectului
1. Dezvoltarea capacitatii institutionale a Serviciului Urbanism si Directiei de Asistenta Sociala din cadrul UAT Municipiul Bistrita in
vederea realizarii procesului de transformare digitala.
2. Dezvoltarea solutiilor digitale si de inteligenta artificiala care sa sustina servicii mai bune furnizate intr-un mod mai eficient si
orientat spre cetateni.</t>
  </si>
  <si>
    <t>Obiectiv general: Dezvoltarea unui Sistem de Management al Calitatii si Performantei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calitatii si performantei cu sistemul de control intern managerial, precum si recertificarea SR EN ISO 9001, în scopul optimizarii proceselor orientate catre beneficiari în concordanta cu SCAP si al consolidarii capacitatii institutionale a UAT Municipiul Botosani
Obiectiv Specific 2.Implementarea unui sistem informatic inovativ de management al proceselor si documentelor la nivelul UAT Municipiul Botosani, în vederea dezvoltarii si consolidarii Sistemului de Management al Calitatii si Performantei, necesar cresterii calitatii si a accesibilitatii serviciilor publice.Obiectiv Specific 3.Îmbunatatirea cunostintelor si abilitatilor a 150 de persoane, personalul din cadrul UAT Municipiul Botosani privind implementarea, respectarea si actualizarea continua a standardelor de management al calitatii, prin sesiunile de formare profesionala clasica si e-learning, actiuni de networking si schimb de bune practici, în vederea sprijinirii masurilor si actiunilor de OS2.1 si implicit de proiect pentru optimizarea proceselor orientate catre beneficiari</t>
  </si>
  <si>
    <t>Obiectivul general al proiectului/Scopul proiectului
Prevenirea si reducerea faptelor de coruptie la nivelul celor 140 de angajati ai Primariei Municipiului Botosani.
Obiectivele specifice ale proiectului
1. Elaborarea diagnozei institutionale din punct de vedere al fenomenului de risc care favorizeaza vulnerabilitati la fapte de coruptie
2. Cresterea gradului de informare cu privire la fenomenul coruptiei si solutiile de prevenire si eradicare
3. Cresterea capacitatii interne pentru prevenirea si semnalarea cazurilor asociate fenomenului coruptiei
4. Educarea membrilor comunitatii cu privire la importanta si impactul masurilor anti-coruptie respectiv cu privire la rolul comunitatii
în prevenirea si sanctionarea ei timpurie
5. Identificarea solutiilor de consolidare a integritatii institutiei prin tratarea cauzelor si prevenirea posibilelor fapte de coruptie</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</si>
  <si>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cunostintelor si abilitatilor profesionale pentru 35 de persoane din grupul tinta prin participarea la cursuri de
formare pentru utilizarea sistemului informatic si a procedurilor simplificate,cuprinzând si module de dezvoltare durabila, egalitate
de sanse, nediscriminare si egalitate de gen.</t>
  </si>
  <si>
    <t>Cresterea transparenței, eticii si integritații la nivelul Unitatii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administratia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</si>
  <si>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cetateni elaborat la nivel national.
Obiectivele specifice ale proiectului
1. Implementarea unor masuri de simplificare pentru cetateni, în corespondenta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competentelor/cunostintelor dobândite pentru 60 de persoane din cadrul grupului tinta, în ceea
ce priveste utilizarea/administrarea solutiilor informatice implementate în cadrul proiectului.</t>
  </si>
  <si>
    <t>Obiective specifice: Cresterea eficientei administrative a Primariei Municipiului Brasov prin implementarea unor sisteme informatice inovative - ca masuri de simplificare a furnizarii serviciilor catre cetateni si mediul de afaceri. Obiectivele specifice ale proiectului
1. Optimizarea activitatilor interne ale functionarilor, prin implementarea unei platforme integrate de management al activitatilor si al înregistrarilor
2. Modernizarea platformei de tip portal prin implementarea de noi solutii tehnice si servicii care sa fie furnizate online catre cetățeni
3. Imbunatatirea abilitatilor si cunostintelor personalului municipiului Brasov pentru utilizarea sistemelor informatice dezvoltate prinproiect si pentru gestionarea documentelor electronice</t>
  </si>
  <si>
    <t>Obiectivul general al proiectului consta consolidarea capacitatii institutionale si eficientizarea activitatii la nivelul Municipiului Codlea, prin simplificarea procedurilor administrative si reducerea birocratiei pentru cetateni, implementând masuri din perspectiva back-office (adaptarea procedurilor interne de lucru, digitalizarea arhivelor) si din perspectiva front-office, pentru serviciile publice furnizate.                                                                                                                                                                                                         Obs. 1) Implementarea unor masuri de simplificare pentru cetateni, în corespondenta cu Planul integrat pentru simplificarea
procedurilor administrative aplicabile cetatenilor, atât din perspectiva back-office (adaptarea procedurilor interne de lucru,
digitalizarea arhivelor), cât si din perspectiva front-office.
cetateni. Rezultatul 1 contribuie la atingerea acestuia.
2. Obs. 2) Cultivarea si dezvoltatea cunostintelor, competentelor si abilitatilor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</si>
  <si>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Obiectivul general al proiectului:
Introducerea de sisteme si standarde comune în administratia publica locala ce optimizeaza procesele orientate catre beneficiari în concordanta cu SCAP:
• Implementarea de mecanisme si proceduri standard la nivel local pentru simplificare si rationalizare a procedurilor
administrative
• Introducerea de instrumente electronice si procese de lucru simplificate pentru reducerea birocratiei, corelate cu Planul integrat de simplificare a procedurilor administrative pentru cetateni implementate
Obiectivele specifice ale proiectului
1. Obiectiv specific de proiect 1: Digitizarea, simplificarea si optimizarea fluxurilor de lucru pentru procesele orientate catre cetateni în administratia locala a Municipiului Fagaras.
2. Obiectiv specific de proiect 2: Îmbunatatirea cunostintelor si abilitatilor alesilor locali, precum si angajatilor administratiei locale în furnizarea si comunicarea unor servicii publice de calitate catre cetateni
3. Obiectiv specific de proiect 3: Îmbunatatirea cunostintelor si abilitatilor alesilor locali, precum si angajatilor administratiei locale în furnizarea si comunicarea unor servicii digitizate si online catre cetateni</t>
  </si>
  <si>
    <t>Obiectivul general al proiectului/Scopul proiectului
Cresterea performantei administratiei publice din judetul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birocratiei.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informationale
ale institutiilor implicate si în relatia acestora cu CJ Bv, reducând astfel întârzierile în procesul decizional cu impact asupra
activitatilor operative. Se vor dezvolta si implementa masuri de simplificare pentru cetateni, în corespondenta cu Planul integrat
pentru simplificarea procedurilor administrative aplicabile cetatenilor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informatiilor care sunt utilizate, optimizarea fluxurilor de lucru si introducerea semnaturii digitale.                                                                                                        OS 2. Retrodigitalizarea arhivei fizice cu valoare operationala prezenta de la nivelul D.G.A.S.P.C Brasov
- Se va retro-digitaliza un numar de cca. 1.500.000 pagini aflate în arhiva clasica si cu valoare operationala prezenta.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</si>
  <si>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autoritatii publice locale prin elaborarea Planului strategic
institutional pentru perioada 2021-2022.
3. Sustinerea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</si>
  <si>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prioritatii europene de investitii 11i.
Obiectivele specifice ale proiectului
1. Elaborarea unei proceduri de cooperare cu societatea civila.
În anul 2020, în structura organizatorica a Primariei Municipiului Brasov a fost inclus Compartimentul Relatii si Inovare
Comunitara, având atributii în cresterea gradului de implicare a societatii civile în realizarea unui act administrativ de calitate, prin
organizarea periodica de consultari si dezbateri publice, asigurarea comunicarii directe si continue cu reprezentatii societatii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competentelor personalului din Primaria Municipiului Brasov, în ceea ce priveste prevenirea
coruptiei.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</si>
  <si>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</si>
  <si>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competentelor personalului în ceea ce priveste prevenirea coruptiei
Obiectivele specifice ale proiectului
1. Sondarea perceptiei publice privind aspectele legate de coruptie la nivelul Primariei Municipiului Fagaras
2. Implementarea de masuri in vederea conformarii cu cerintele privind Strategia Nationala Anticoruptie 2016-2020 si
implementarea ISO 37001
3. Elaborarea unui ghid de bune practici privind prevenirea coruptiei si a incidentelor de integritate, prevenirea conflictelor de
interese
4. Certificarea Primariei Municipiului Fagars în sistemul de management anti-mita SR EN ISO 37001
5. Configurarea procedurilor anticoruptie în Platforma IT existenta
6. Formarea personalului privind etica si integritatea si implementarea masurilor pentru prevenirea si combaterea coruptiei</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</si>
  <si>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organizationale prin implementarea Instrumentului de auto-evaluare a modului de functionare a
institutiilor administrariei publice (CAF) si a sistemului de management integrat Balanced Scorecard (BSC) la nivelul Primariei
Municipiului Fagaras, în concordanta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</si>
  <si>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Cresterea capacitatii administrative la nivelul Municipiului Brasov prin introducerea unor mecanisme de planificare strategica si
digitalizarea serviciilor sociale aflate în competenta Directiei de Asistenta Sociala Brasov (DAS Brasov).
Obiectivele specifice ale proiectului
1. Îmbunatatirea procesului decizional, a planificarii strategice si a executiei bugetare prin achizitia de studii si cercetari necesare
actualizarii strategiei sectoriale DAS Brasov.                                                                                                                                                                                                                                          2. Implementarea unitara a managementului calitatii prin certificarea Sistemului de management al calitatii ISO 9001 la nivelul DAS Brasov. 3. Optimizarea procedurilor administrative în domeniul serviciilor sociale oferite de DAS Brasov, în scopul reducerii birocratiei pentru
cetateni.</t>
  </si>
  <si>
    <t>Obiectivul general al proiectului consta în consolidarea capacitatii institutionale si eficientizarea activitatii la nivelul Municipiului Sacele prin simplificarea procedurilor administrative si reducerea birocratiei pentru cetateni, implementând masuri din perspectiva back-office si frontoffice pentru serviciile publice livrate de primarie, vizând competentele exclusive si partajate.
Obiectivele specifice ale proiectului
1. OS1. Implementarea unor masuri de simplificare pentru cetateni în domeniul competentelor exclusive si partajate, în
corespondenta cu Planul integrat pentru simplificarea procedurilor administrative aplicabile cetatenilor, atât din perspectiva backoffice,
cât si front-office.
2. OS2. Dezvoltarea cunostintelor si abilitatilor pentru minim 50 de persoane din cadrul Municipiului Sacele, în vederea sprijinirii
masurilor vizate de proiect.</t>
  </si>
  <si>
    <t>Cresterea transparentei, eticii si integritatii la nivelul Sectorului 4 al Municipiului Bucuresti, prin implementarea unor mecanisme care sa faciliteze punerea in aplicare a cadrului legal in domeniul eticii si integritatii, imbunatatirea cunostintelor si a competentelor personalului propriu, precum si implementarea unor mecanisme de cooperare cu societatea civila. OS. 1. Sustinerea dezvoltarii si implementarii unor unor mecanisme care sa faciliteze punerea în aplicare a cadrului legal în domeniul eticii si integritatii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</si>
  <si>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Obiectivul general:Dezvoltarea unui management performant la nivelul Primariei Sectorului 4 Bucuresti, prin cresterea calitatii procesului decizional,
reducerea birocratiei, cresterea eficientei, transparentei si integritatii serviciilor publice oferite cetatenilor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cunostintelor si abilitatilor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</si>
  <si>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institutional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calitatii si performantei actului administrativ, a transparentei, eficientei si eficacitatii în utilizarea fondurilor publice.
OS3 - Modernizarea sistemului de management al documentelor din Primaria Sectorului 1, prin implementarea unei aplicatii informatice care sa sustina digitalizarea proceselor de inregistrare si arhivare a documentelor.</t>
  </si>
  <si>
    <t>OS1. Implementarea si utilizarea instrumentului de auto-evaluare CAF la nivelul PS2, cu scopul cresterii performantei administratiei publice locale, precum si pentru îmbunatatirea continua a serviciilor publice oferite                                                                                                                                                                       OS2. Dezvoltarea/cresterea abilitatilor si certificarea unui numar de 30 de persoane din toate nivelurile ierarhice din cadrul Primariei Sectorului 2 (Formarea/Instruirea specifica a 20 de angajati din cadrul PS2, în vederea utilizarii instrumentului CAF                                                                                     OS3. Diseminarea rezultatelor proiectului la nivelul institutiilor aflate sub autoritatea Consiliul Local al Sectorului 2, prin instruirea
a 10 angajati din cadrul personalului acestor institutii, cu privire la monitorizarea Sistemului de Management al institutiei cu
ajutorul instrumentului CAF</t>
  </si>
  <si>
    <t>Obiectiv specific 1: Modernizarea sistemului de furnizare a serviciilor de asistenta sociala prin implementarea unei aplicatii
informatice de gestiune integrata si standardizata a beneficiilor de asistenta sociala la nivelul Sectorului 1 al Municipiului
Bucuresti;
Obiectiv Specific 2: Cresterea eficientei si eficacitatii aparatului administrativ si reducerea birocratiei pentru cetatenii Sectorului 1
beneficiari ai serviciilor de asistenta sociala prin cresterea gradului de operationalizare a documentelor din arhiva traditionala</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</si>
  <si>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Birocratiei pentru cetateni. Rezultatul 1 contribuie la atingerea acestui obiectiv.
OS2: Cultivarea si dezvoltarea cunostintelor, competentelor si abilitatilor personalului din cadrul Directiei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</si>
  <si>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Scopul acestui proiect este a sustine aparatul de specialitate al Primarului Sectorului 1 al Municipiului Bucuresti în ceea ce priveste
cresterea gradului de implementare a masurilor referitoare la prevenirea coruptiei pe termen lung prin realizarea unor activitati specifice
care se încadreaza în Axa prioritara 2. “Administratie publica si sistem judiciar accesibile si transparente” si care contribuie la îndeplinirea
Obiectivul specific 2.2 “Cresterea transparentei, eticii si integritatii în cadrul autoritatilor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</si>
  <si>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Obiectivul principal al proiectului consta în cresterea transparentei,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coruptie în acord cu respectarea principiilor transparentei, legalitatii,
eficacitatii si suprematiei interesului public care sunt absolut indispensabile în buna functionare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administratiei publice în vederea dezvoltarii nivelului de
educatie anticoruptie la nivelul Sectorului 3;
4. Certificarea sistemului de management anti-mita ISO 37001 în vederea asigurarii integritatii la nivelul Sectorului 3;</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</si>
  <si>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institutional cu privire la riscurile si vulnerabilitatle de
coruptie identificate la nivelul Primariei Sector 6 prin implementarea si certificarea sistemului de management anti-mita ISO
37001, operationalizarea unui Plan de actiune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transparentei, eticii si integritatii pentru personalul
Primariei Sector 6 prin derularea unui program de formare profesionala</t>
  </si>
  <si>
    <t>Obiectiv general: Cresterea eficientei serviciilor de asistenta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activitatilor interne si reducerea birocratiei institutionale în vederea furnizarii serviciilor de asistenta
sociala pentru cetatenii sectorului 6.
2. Obiectiv specific 2: Dezvoltarea unui website pentru facilitarea accesului cetatenilor la serviciile oferite de catre DGASPC Sector 6</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</si>
  <si>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concordanta cu
Planul integrat de simplificare a procedurilor administrative pentru cetateni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</si>
  <si>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Obiectivul general al proiectului consta in implementarea unui sistem unitar de management al calitatii si performantei,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performantei si calitatii corelate cu Planul de actiune în etape
implementat în administratia publica locala
2. Obiectiv specific 2: Certificarea Sistemului de Management al Calitatii, conform SR EN ISO 9001:2015.
OS 2 contribuie la R2 POCA: Sisteme de management al performantei si calitatii corelate cu Planul de actiune în etape
implementat în administratia publica locala
3. Obiectiv specific 3: Impementarea instrumentului de autoevaluare CAF 2020
OS 2 contribuie la R2 POCA: Sisteme de management al performantei si calitatii corelate cu Planul de actiune în etape
implementat în administratia publica locala</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</si>
  <si>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solutiilor informatice
implementate. </t>
  </si>
  <si>
    <t>Obiectivul general al proiectului vizeaza consolidarea relatiei dintre cetatean si institutie prin reducerea birocratiei in concordanta cu
SCAP, la nivelul Sectorului 3 al Municipiului Bucuresti, precum si fundamentarea deciziilor prin planificarea strategica a transformarii
digitale a Sectorului 3 pe termen lung, astfel încât sa fie implementate solutii transparente si eficiente pentru cetateni.
Obiectivele specifice ale proiectului
1. 1.Implementarea unui sistem informatic pentru optimizarea relatiei dintre cetatean si institutie, prin aducerea informatiilor mai
aproape de cetateni.
OS 1 corespunde rezultatului de program R3 - Proceduri simplificate pentru reducerea birocratiei pentru cetateni la nivel local
corelate cu Planul integrat de simplificare a procedurilor administrative pentru cetateni implementate.
2. 2. Elaborarea Strategiei de Transformare Digitala a Sectorului 3 al Municipiului Bucuresti. Strategia va analiza si va identifica cele
mai smart solutii pentru a digitaliza sectorul si pentru a facilita relatia cu cetatenii.
OS 2 corespunde rezultatului de program R1 – Mecanisme si proceduri standard implementate la nivel local pentru
fundamentarea deciziilor si planificarea strategica pe termen lung.</t>
  </si>
  <si>
    <t>Obiectivul general al proiectului vizeaza consolidarea capacitatii institutionale si eficientizarea activitatii la nivelul Sectorului 2 al
Municipiului Bucuresti în ceea ce priveste exercitarea atributiilor prevazute de OUG 57/2019 privind Codul Administrativ, prin
implementarea de masuri pentru îmbunatatirea procesului decizional si a planificarii strategice si de digitalizare, menite sa ajute la
cresterea calitatii procesului administrativ, pentru a raspunde în mod fundamentat si coerent nevoilor comunitatilor locale.
Obiectivele specifice ale proiectului
1. Implementarea de masuri de eficientizare a proceselor de lucru aferente relatiei dintre institutie si asociatiile de proprietari, atât
din perspectiva back-office, cât si din perspectiva front-office, în vederea reducerii birocratiei. Pentru realizarea obiectivului
specific 1 se are în vedere activitatea A3 - Simplificarea Procedurilor Administrative si Reducerea Birocratiei pentru cetateni.
Subactivitatea 3.1 - Implementarea unei platforme informatice destinata comunicarii cu asociatiile de proprietari / chiriasi.
Rezultatul 2 contribuie la atingerea acestui obiectiv.
2. Cultivarea si dezvoltarea cunostintelor, competentelor si abilitatilor pentru 30 de angajati din cadrul aparatului primarului, în
vederea utilizarii si administrarii platformei informatice dezvoltate în proiect, prin participarea la programe de instruire, inclusiv prin
abordarea temelor de dezvoltare durabila, egalitate de sanse, nediscriminare si egalitate de gen, în vederea utilizarii si
administrarii platformei informatice implementate. Pentru realizarea obiectivului specific 2 se are în vedere activitatea A3 -
Simplificarea procedurilor administrative si reducerea birocratiei pentru cetateni, subactivitatea 3.3 - Activitati instruire utilizatori si
administratori. Rezultatul 3 contribuie la atingerea acestuia.
3. Dezvoltarea de mecanisme si proceduri standard pentru fundamentarea deciziilor si planificarea strategica pe termen lung în
concordanta cu SCAP, prin elaborarea Strategiei de transformare digitala a Sectorului 2. pentru realizarea acestui obiectiv
specific se are în vedere activitatea A4 - Dezvoltarea Strategiei de transformare digitala. Rezultatul 1 contribuie la atingerea
acestui obiectiv.</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</si>
  <si>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relevanti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</si>
  <si>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cunostintelor si abilitatilor personalului din Municipiul Buzau pentru utilizarea sistemului informatic pentru asigurarea eficienta a managementului serviciilor.</t>
  </si>
  <si>
    <t>Obiectivul general al proiectului
Simplificare administrativa si optimizarea serviciilor online furnizate catre cetateni, inclusiv prin digitizarea arhivei la nivelul Primariei Municipiului Buzau, contribuind astfel la îndeplinirea obiectivului specific 2.1 al POCA "Introducerea de sisteme si standarde comune în administratia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Îmbunatatirea abilitatilor si cunostințelor personalului municipiului Buzau  pentru utilizarea sistemelor informatice dezvoltate prin proiect si pentru gestionarea documentelor electronice</t>
  </si>
  <si>
    <t>Consolidarea capacitații institutionale a Primariei Municipiului Râmnicu-Sarat în vederea optimizarii proceselor administrative ale primariei si adoptarii unor masuri de simplificare a furnizarii serviciilor catre cetațeni si mediul de afaceri, prin implementarea unor sisteme informatice inovative.</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</si>
  <si>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operationale a Centrului operational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cunostintelor si abilitatilor personalului din Municipiul Buzau pentru utilizarea procedurilor si platformei informatice, pentru asigurarea planificarii strategice si a consultarii cetațenilor. </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</si>
  <si>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conditionalitatilor specifice
perioadei de finantare 2021-2027, precum si a procedurilor de prioritizare a proiectelor, de monitorizare a implementarii planurilor
de actiune si de evaluare a rezultatelor acestora, pentru documentele strategice elaborate. Obiectivul specific este în corelare cu
Activitatea 5 si cu Rezultatul de proiect 3.</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</si>
  <si>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competentelor/cunostintelor dobândite pentru 45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Integrate de dezvoltare urbana a
Municipiului Râmnicu Sarat 2021-2027</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</si>
  <si>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imbunatatirea cunostintelor si a competentelor personalului propriu.
Os.1) Cresterea gradului de dezvoltare a capacitatii analitice a UAT-ului, de a efectua activitati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</si>
  <si>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adaptabilitatii populatiei la nevoile pietei fortei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comunitatilor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</si>
  <si>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1. Îmbunatatirea capacitatii de planificare strategica si alocare a resurselor la nivelul administratiei publice locale Municipiul Resita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cunostintelor si abilitatilor
personalului din cadrul Primariei Municipiului Resita, în vederea sprijinirii masurilor vizate de proiect prin formarea/instruirea,
evaluarea/testarea si certificarea competentelor/cunostintelor dobândite pentru persoanele din cadrul grupului tinta,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</si>
  <si>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abilitatilor personalului din UAT Mun. Caransebes, pe teme specifice de interes
</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</si>
  <si>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eficienta in administratia publica locala din Municipiul Resita prin instruirea unui numar de 100 de angajati ai primariei pentru a-i capacita in domeniile implementate prin proiect</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</si>
  <si>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Caransebes din domeniile de
interes asistenta sociala si amenajarea teritoriului si urbanism
2. 2. Cresterea nivelului de pregatire, cunostinte si abilitati ale personalului din cadrul Primariei atat in domenii specifice, cat
si in utilizarea si administrarea sistemelor informatice</t>
  </si>
  <si>
    <t>Consolidarea capacitatii de planificare strategica pe termen lung si de asigurarea calitatii serviciile publice prin simplificarea procedurilor administrative pentru reducerea birocratiei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corespondenta cu Planul Integrat pentru simplificarea procedurilor
administrative aplicabile cetatenilor, din perspectiva back-office adaptarea procedurilor interne de lucru, digitalizarea arhivelor
3. OS 3 Dezvoltarea cunostintelor si abilitatilor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</si>
  <si>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cetateni si persoane juridice la nivelul CJCS, în corespondenta
cu Planul Integrat pentru simplificarea procedurilor administrative aplicabile cetatenilor din perspectiva front-office si back-office;
3. OS3.Dezvoltarea cunostintelor si abilitatilor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</si>
  <si>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cunostinte si abilitati ale personalului din cadrul Primariei Municipiului Turda in domeniul
planificarii strategice si politicilor publice, precum si in utilizarea si administrarea sistemelor informatice</t>
  </si>
  <si>
    <t xml:space="preserve">Obiectivul general  - Implementarea de masuri care vizeaza adaptarea structurilor administrative existente, optimizarea proceselor orientate catre cetateni, prin crearea accesului online la serviciile administratiei publice locale, precum si utilizarea centrului de inovare si imaginatie civica în planificarea strategica a proceselor de inovare sociala, pentru cresterea transparentei decizionale si simplificarea procedurilor oferite cetatenilor municipiului Cluj-Napoca.
Obiective specifice:
OS 1. Dezvoltarea si introducerea mecanismelor Centrului de Inovare si Imaginatie Civica (CIIC) în vederea optimizarii proceselor decizionale orientate catre cetateni si mediul de afaceri în Municipiul Cluj-Napoca.
OS 2. Design-ul, dezvoltarea si implementarea unui sistem electronic de digitalizare si simplificare a serviciilor publice oferite
cetatenilor Municipiului Cluj-Napoca prin implementarea functionarului public electronic si virtual – ANTONIA.
OS 3. Formarea/instruirea functionarilor publici si contractuali, inclusiv a factorilor de decizie la nivel politic, în utilizarea instrumentelor digitale si a functionarului electronic.
</t>
  </si>
  <si>
    <t>Obiectivul general al proiectului consta in consolidarea capacitații institutionale si eficientizarea activitații la nivelul Municipiului DEJ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cetateni, in corespondenta cu Planul integrat pentru simplificarea
procedurilor administrative aplicabile cetatenilor din perspectiva front-office, dar si back-office prin achizitia si implementarea unei
platforme integrate (portal web, arhivare electronica, captura documente, fluxuri de lucru cu documente, registratura electronica
si management arhiva fizica de documente)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DEJ si retro-digitalizarea unui numar de cca. 20.000 dosare aflate in arhiva clasica si cu valoare
operationala prezenta pentru a facilita rezolvarea cererilor cetatenilor în curs de solutionare.
2. OS2. Dezvoltarea cunostintelor si abilitatilor personalului din cadrul Municipiului DEJ,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 întelegerea
implicatiilor si avantajelor raportate la realizarea obiectivelor specifice aferente proiectului.</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</si>
  <si>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concordanta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</si>
  <si>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Obiectivul general al proiectului consta in consolidarea capacitatii institutionale si eficientizarea activitatii la nivelul Municipiului Gherla prin simplificarea procedurilor administrative si reducerea birocratiei pentru cetateni, implementând masuri din perspectiva back-office si frontoffice.
Obiectivele specifice ale proiectului
1. OS1. Implementarea unor masuri de simplificare pentru cetateni,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achizitionate o serie de echipamente IT, respectiv software, o parte din acestea fiind
identificate si descrise la sectiunea ,,Rezultate asteptate” din cadrul prezentei Cereri de finantare.
2. OS2. Dezvoltarea cunostintelor si abilitatilor personalului din cadrul Municipiului Gherla,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</si>
  <si>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consolidarea capacitatii institutionale si eficientizarea activitatii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Câmpia Turzii 2021-2027</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</si>
  <si>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</si>
  <si>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Obiectivele specifice ale proiectului
1. Intarirea capacitatii de planificare strategica si a capacitatii de planificare si gestionare a investitiilor,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</si>
  <si>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competentelor exclusive ale administratiei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</si>
  <si>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Obiectivul general consta în actualizarea si extinderea masurilor de simplificare din perspectiva back-office, cat si front-office, pentru
serviciile gestionate exclusiv de catre UAT Municipiul Turda, judetul Cluj, din regiunea mai putin dezvoltata Nord-Vest, pentru a simplifica
procedurile administrative si reducerea birocratiei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birocratiei pentru cetateni.
2. OS 2. Continuarea procesului de retro-digitalizare si ocerizarea arhivei digitale deja existente.
3. OS 3. Imbunatatirea competentelor profesionale a unui numar de circa 30 persoane din cadrul UAT Municipiul Turda în ceea ce
priveste utilizarea solutiilor informatice implementate in cadrul proiectului</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</si>
  <si>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</si>
  <si>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Obiectivul general al proiectului vizeaza introducerea de sisteme si standarde comune în administratia publica locala ce
optimizeaza procesele orientate catre beneficiari în concordanta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</si>
  <si>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capacitatii institutionale si eficientizarea activitatii la nivelul Municipiului Mangalia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sigurantei si ordinii
publice si urbanismului
2. OS2: Dezvoltarea cunostintelor si abilitatilor personalului din cadrul Municipiului, in vederea sprijinirii masurilor vizate de proiect.
Este avuta in vedere formarea/instruirea, evaluarea/testarea si certificarea competentelor/cunostintelor dobândite pentru 60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Mangalia 2022-2027</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</si>
  <si>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comunitatilor locale.
Obiectivele specifice ale proiectului
1. OS 1 Dezvoltarea capacitatii de planificare strategica la nivelul UAT municipiul Constanta si a Zonei Metropolitane Constanta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Constanta si a celorlalte autoritati publice locale din Zona Metropolitana
Constanta prin pregatirea adecvata a personalului în domeniul planificarii strategice si a managementului public eficient</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</si>
  <si>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operationale aferente;
2. OS2 - Dezvoltarea de instrumente in vederea cresterii asumarii responsabilitatii la nivelul UAT judetul Constanta, Consiliul
Judetean Constanta prin: realizarea unei campanii de constientizare a publicului si a personalului institutiilor si autoritatilor publice
cu privire la anticoruptie, privind perceptia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international.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</si>
  <si>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sustine un management performant la nivelul autoritattii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coruptiei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Îmbunatatirea cunostintelor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</si>
  <si>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</si>
  <si>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Mihai Viteazu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</si>
  <si>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Corbu, Jud. Constanta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Corbu, Jud. Constanta, în vederea sprijinirii
masurilor vizate de proiect. Este avuta în vedere formarea/instruirea, evaluarea/testarea si certificarea
competentelor/cunostintelor dobândite pentru 18 persoane din cadrul grupului tinta, în ceea ce priveste utilizarea solutiilor
informatice implementate în cadrul proiectului si 13 persoane din cadrul grupului tinta instruite în domeniul planificarii strategice.</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</si>
  <si>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Judetul Constanta prin Consiliul
Judetean Constanta pentru o administratie publica eficienta, transparent si adaptata nevoilor comunitatii locale.
3. OS3. Dezvoltarea cunostintelor si abilitatilor unui numar de 20 de persoane de la nivelul UAT Judetul Constanta prin Consiliul
Judetean Constanta în vederea utilizarii unui management al calitatii si performantei la nivelul autoritatii publice locale.</t>
  </si>
  <si>
    <t>Obiectivul general al proiectului îl reprezinta cresterea performantei administratiei publice din judetul Covasna.
Obiectivele specifice ale proiectului
1. Crearea de mecanisme si proceduri standard pentru fundamentarea deciziilor si planificare strategica în judetul Covasna, prin
realizarea Strategiei Integrate de Dezvoltare a judetului Covasna 2021-2030 (Planul POTSA), în corelare cu Strategia pentru
Consolidarea Administratiei Publice (SCAP).
2. Optimizarea procedurilor administrative în raport cu cetatenii în scopul reducerii birocratiei, prin dezvoltarea si implementarea de
masuri de simplificare a serviciilor furnizate de autoritatea publica locala, judetul Covasna, prin intermediul unei solutii informatice
integrate si prin retro-digitalizarea documentelor relevante din arhiva clasica.</t>
  </si>
  <si>
    <t>Obiectivul general al proiectului consta în îmbunatatirea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operationale aplicabile la nivelul institutiei) pentru a creste eficienta actiunilor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functionare a institutiilor publice) la nivelul Municipilui Moreni pentru sprijinirea schimbarii pentru performanta, îmbunatatirea
modului de realizare a activitatilor si de prestare a serviciilor publice. OS 2 se va indeplini prin subactivitatea 3.1 si va conduce la
atingerea rezultatului R2.
3. OS3. Imbunatatirea competentelor profesionale a unui numar de 100 persoane din diferite niveluri ierarhice (personal de
conducere, de executie, alesi locali) din cadrul Municipiului Moreni pe teme specifice. OS 3 se va îndeplini prin Activitatea 4 si va
conduce la atingerea rezultatului R5.</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</si>
  <si>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îmbunatatire a procesului de fundamentare a deciziilor la nivelul UAT
Judetul DB, prin elaborarea Strategiei de dezvoltare a serviciilor sociale a judetului DB si a Planului Strategic Institutional.
2. 2. Simplificarea procedurilor administrative si reducerea birocratiei pentru cetateni prin dezvoltarea si implementarea de solutii
informatice la nivelul UAT Judetul DB, pentru serviciile partajate din domeniul urbanismului si al serviciilor de asistenta sociala
pentru copii aflati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Îmbunatatirea abilitatilor si competentelor angajatilor UAT Judetul DB, prin participarea la sesiuni de instruire pe teme specifice
actiunilor prevazute prin proiect</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</si>
  <si>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</si>
  <si>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este reprezentat de digitalizarea serviciilor publice oferite cetatenilor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Operational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</si>
  <si>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Obiectivul general al proiectului vizeaza consolidarea capacitatii instituttionale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</si>
  <si>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si eficientizarea activitatii la nivelul Primariei Municipiului
Moreni,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Primariei Municipiului Moreni, in vederea sprijinirii masurilor
vizate de proiect. Este avuta in vedere formarea/instruirea, evaluarea/testarea si certificarea competentelor/cunostintelor
dobândite pentru 130 de persoane (personal de conducere, de executie, alesi locali) din care 50 de persoane pentru comunicare
interna, 50 de persoane pentru analiza de proces in administratia publica, precum si 30 de persoane, din cadrul grupului tinta, in
ceea ce priveste utilizarea solutiilor informatice implementate in cadrul proiectului.</t>
  </si>
  <si>
    <t>Obiectivul general al proiectului/Scopul proiectului
Consolidarea capacitatii Primariei municipiului Craiova de a asigura calitatea si accesul la serviciile publice oferite exclusiv de Primarie
prin simplificarea procedurilor administratiei locale si reducerea birocratiei pentru cetateni                                                                                                          Obiectivele specifice ale proiectului
1. Reducerea cu minim 10% a timpului aferent livrarii serviciilor catre cetateni
2. Implementarea fluxului electronic pentru cel putin 10 servicii oferite online (acte livrate semnate electronic) exclusiv de primarie.
3. Punerea la dispozitia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veridicitatii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</si>
  <si>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Bailesti în vederea sprijinirii masurilor/actiunilor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</si>
  <si>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cetateni si firme, în corespondenta cu Planul Integrat pentru simplificarea
procedurilor administrative aplicabile cetatenilor, atât din perspectiva back-office (adaptarea procedurilor interne de lucru,digitalizarea arhivelor), cât si front-office.
2. OS3. Dezvoltarea cunostintelor si abilitatilor personalului din cadrul Consiliului Judetean Dolj, în vederea sprijinirii masurilor vizate
de proiect. Este avuta în vedere formarea/instruirea, evaluarea/testarea si certificarea competentelor/cunostintelor dobândite
pentru 75 de persoane din cadrul grupului tinta, în ceea ce priveste simplificarea procedurilor administrative. Obiectivul general al
serviciilor de instruire îl constituie familiarizarea persoanelor din grupul tinta cu implicatiile conceptului de simplificare administrativa.</t>
  </si>
  <si>
    <t>Obiectivul general al proiectului:
Asigurarea unei transparențe si integrități sporite la nivelul sistemului judiciar în vederea îmbunatatirii accesului si a calității serviciilor furnizate la nivelul acestuia în cadrul UAT Drobeta-Turnu Severin;
Obiectiv specific al proiectului:
OS 2.1: Grad crescut de acces la justiție al cetățenilor prin derularea de campanii de informare/educatie juridica si oferirea de servicii suport, inclusiv de asistenăț juridică, puse la dispoziția cetățenilor.</t>
  </si>
  <si>
    <t>Obiectivul general consta în îmbunatațirea capacitatii administrative, a calitatii si eficientei serviciilor publice furnizate la nivelul UAT Municipiul Tecuci, județul Galați, din regiunea mai putin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institutional, proceduri cadru de adoptare a hotarârilor de consiliu local) pentru a creste eficienta actiunilor adimintrative la nivelul Municipiului Tecuci. 
2. OS 2. Masuri de simplificare a procedurilor administrative si reducerea birocratiei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</si>
  <si>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Obiectivul general consta în îmbunatatirea capacitatii administrative, a calitatii si eficientei serviciilor publice furnizate la nivelul Consiliul Judetean Galati si a 5 institutii subordonate, din regiunea mai putin dezvoltata, prin investitii integrate si complementare conform reglementarilor europene si nationale (implementare CAF, planificare strategica institutionala, sistem informatic pentru arhiva electronica).
Obiectivele specifice ale proiectului
1. OS 1: Implementarea unor mecanisme si proceduri standard (Strategie de dezvoltare a judetului, Plan strategic institutional si proceduri operationate de aplicare a acestuia) pentru a creste eficienta actiunilor adimintrative la nivelul Consiliului Judetean Galati. OS 1 se va îndeplini prin Activitatea 3 si va conduce la atingerea rezultatului de program POCA R1.
2. OS 2. Implementarea si utilizarea instrumentului de management al calitatii CAF (Cadrul comun de autoevaluare a modului de functionare a institutiilor publice) la nivelul Consiliului Judetean Galati si a 5 institutii subordonate pentru sprijinirea schimbarii spre performanta, îmbunatatirea modului de realizare a activitatilor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birocratiei pentru cetateni prin crearea si integrarea unui sistem informatic pentru arhiva (digitalizarea documentelor din arhiva) la nivelul Consiliului Judetean Galati.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</si>
  <si>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Obiectiv general: Consolidarea capacitatii administrative a Unitatii administrativ teritoriale (UAT) Municipiul Galati pentru sustinerea unui
management performant prin introducerea si utilizarea instrumentului CAF aplicabil administratiei locale, în concordanta cu ”Planul de
actiuni pentru i+J131mplementarea etapizata a managementului calitatii în autoritati si institutii publice 2016-2020” (cuantificare: 1 sistem de J131management implementat).                                                                                                        OS1. Implementarea si utilizarea instrumentului de auto-evaluare de tip CAF (Cadrul comun de autoevaluare a modului de
functionare a institutiilor publice) la nivelul UAT Municipiul Galati pentru cresterea performantei în administratia publica locala si
îmbunatatirea serviciilor publice pentru comunitate.
 OS2. Dezvoltarea cunostintelor si abilitatilor unui numar de 45 de persoane de la nivelul UAT Municipiul Galati în vederea utilizarii
unui management al calitatii si performantei la nivelul autoritatii publice locale.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</si>
  <si>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Galati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</si>
  <si>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solutiilor informatice implementate in cadrul proiectului
OS 2 se va îndeplini prin Activitatea 1.2 si va conduce la atingerea rezultatului R5.</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</si>
  <si>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sustinerea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sustinerea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</si>
  <si>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solutii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</si>
  <si>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 xml:space="preserve">Obiectivele specifice ale proiectului
OS1: Implementarea de mecanisme si proceduri standard (Strategie de dezvoltare a județului, Plan strategic institutional 2021 –2027, Procedura operationala de administrare a infrastructurii rutiere cu ajutorul solutiilor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</si>
  <si>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Obiectivul general al proiectului îl reprezinta reducerea birocratiei la nivelul UAT Judet Giurgiu prin implementarea masurilor care vizeaza
simplificarea procedurilor pentru cetateni în conformitate cu Planul integrat de simplificare a procedurilor pentru cetateni elaborat la nivel
national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birocratiei pentru cetateni la nivel local, corelate cu Planul
integrat de simplificare a procedurilor administrative pentru cetateni din perspectiva back office pentru competente exclusive, prin
achizitia si implementarea solutiilor informatice care sa asigure administrarea electronica a documentelor si prin retrodigitalizarea
documentelor existente.
2. OS2 - Dezvoltarea cunostintelor si abilitatilor personalului în vederea sprijinirii masurilor vizate în proiect prin realizarea
vizitelor/schimb de experienta pentru 12 persoane, instruirea a 60 de persoane in sisteme IT si cerificarea CNFPA a 30 de
persoane din personalul din Consiliului Judetean Giurgiu (personal de conducere si de executie).</t>
  </si>
  <si>
    <t>Obiectivul general al proiectului - Optimizarea si eficientizarea proceselor orientate catre cetateni, în concordanta cu Strategia pentru Consolidarea Administratiei Publice, prin introducerea sistemelor comune de calitate si performanta, în cadrul UAT Municipiul Motru.                                                                                                                                                                                                                                                                      Obiectiv specific 1: Implementarea unui sistem unitar de management al calitatii si performantei (în conformitate cu Planul de
actiune pentru prioritizarea si etapizarea implementarii managementului calitatii) la nivelul UAT Municipiul Motru si realizarea unui schimb de experienta între personalul din institutia publica beneficiara a proiectului si autoritati, organisme, organizatii publice nationale.
2. Obiectiv specific 2: Dezvoltarea abilitatilor unui numar de 40 participanti din cadrul UAT Municipiul Motru în domeniile
implementarii sistemelor de management al calitatii (CAF, ISO), control managerial intern, politici publice locale.</t>
  </si>
  <si>
    <t>1. Dezvoltarea unui sistem de proceduri operationale privind masurile preventive anticoruptie si indicatorii aferenti în cadrul UAT Judetul Gorj si a structurilor subordonate.
2. Implementarea masurilor referitoare la prevenirea coruptiei si a indicatorilor de evaluare inclusiv prin cresterea gradului de constientizare publica si campanii de educatie anticoruptie privind masurile referitoare la prevenirea coruptiei si a indicatorilor de evaluare.
3. Îmbunatatirea cunostintelor si competentelor în domeniul prevenirii coruptiei, transparentei, eticii si integritatii pentru: - 25 persoane - personal de conducere si de executie din cadrul aparatului de specialitate al Unitatii Administrativ Teritoriale Judetul Gorj;
- 25 persoane - personal de conducere si de executie din cadrul structurilor subordonate Unitatii Administrativ Teritoriale Judetul Gorj;
- 20 alesi locali ( consilieri judeteni, presedinte, vicepresedinti) ai Consiliului Judetean Gorj</t>
  </si>
  <si>
    <t>Obiectiv specific: Introducerea de sisteme si standarde comune în administratia publica locala ce optimizeaza procesele orientate catre beneficiari în concordanta cu SCAP.                                                                                                                                                                           OS1. Simplificarea procedurilor administrative si reducerea birocratiei pentru cetateni în Primaria Municipiului Târgu Jiu.
OS2. Îmbunatatirea cunostințelor si abilitatilor personalului din Primaria Municipiului Târgu Jiu în vederea optimizarii masurilor simplificate pentru cetățeni.</t>
  </si>
  <si>
    <t>Fundamentarea deciziilor, planificare strategica si masuri de simplificare pentru cetateni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</si>
  <si>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Obiectiv specific 1: Realizarea în mod participativ a Strategiei de dezvoltare a judetului Gorj pentru perioada 2021-2027 in scopul îmbunatatirii procesului decizional, a planificarii strategice si executiei bugetare la nivelul UAT Judetul Gorj.
Obiectiv specific 2: Implementarea la nivelul UAT Judetul Gorj a masurilor de simplificare pentru cetateni în corespondenta cu Planul integrat pentru simplificarea procedurilor administrative aplicabile cetatenilor.</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</si>
  <si>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coruptiei prin organizarea unei campanii
online de educație anticorupție adresate cetațenilor din Municipiul Târgu -Jiu
4. Îmbunatațirea cunostințelor si a competențelor personalului din Primaria municipiului Târgu- Jiu în ceea ce priveste prevenirea
corupției</t>
  </si>
  <si>
    <t xml:space="preserve">Obiectivul general este optimizarea proceselor orientate catre beneficiari în concordanta cu SCAP prin introducerea sistemului CAF si instruirea personalului pentru implementarea unitara a managementului calitatii si performantei în administratia publica locala, pentru a oferi servicii de calitate care sa asigure obtinerea satisfactiei si încrederii cetatenilor, în condiții de eficienta, eficacitate.
Obiectivele specifice ale proiectului
1. Obiectiv specific 1: Elaborarea unui studiu privind situatia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Judetean Harghita în domeniul managementului performanței si a standardelor instrumentului CAF, cu scopul aplicarii acestor concepte în organizatie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</si>
  <si>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Cresterea eficientei administrative a Primariei Municipiului Gheorgheni prin implementarea unor sisteme informatice inovative, ca masuri de simplificare si modernizare a furnizarii serviciilor catre cetateni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Imbunatatirea abilitaților si cunostintelor personalului municipiului Gheorgheni pentru utilizarea sistemelor informatice
implementate prin proiect.</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</si>
  <si>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îmbunatatirea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</si>
  <si>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Consolidarea integritatii la nivelul UAT Miercurea-Ciuc prin dezvoltarea si implementarea de proceduri si instrumente specifice prevenirii
coruptiei.
Obiectivele specifice ale proiectului
1. Cresterea gradului de implementare a masurilor de prevenire a coruptiei si a indicatorilor de evaluare la nivelul UAT Miercurea-
Ciuc.
2. Îmbunatatirea cunostintelor angajatilor si alesilor locali din cadrul UAT Miercurea-Ciuc în domenii precum prevenirea coruptiei,
conflicte de interese, incompatibilitati, achizitii publice etc.</t>
  </si>
  <si>
    <t>Obiectivul general este optimizarea si digitalizarea proceselor administrative orientate catre beneficiari în concordanta cu SCAP, prin
implementarea sistemului de management al calitatii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calitatii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</si>
  <si>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Obiectivul general al proiectului vizeaza consolidarea capacitatii institutionale si eficientizarea activitatii la nivelul UAT Municipiul Toplita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</si>
  <si>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Dezvoltarea unui management performant si facilitarea accesului la serviciile oferite de Consiliul Judetean Harghita, prin reducerea
birocratiei, cresterea eficientei, transparentei si integritatii serviciilor oferite cetatenilor ca urmare a implementarii unei platforme de servicii electronice pentru cetatenii judetului Harghita - DIGIT HR.
Obiectivele specifice ale proiectului
1. Simplificarea procedurilor, introducerea de instrumente digitale pentru furnizarea de servicii electronice, retrodigitizarea
documentelor, accesul rapid la informatii si reducerea birocratiei pentru cetatenii judetului Harghita prin implementarea platformei
de servicii electronice pentru cetateni DIGIT-HR, la nivelul Judetului Harghita.
2. Dezvoltarea cunostintelor si abilitatilor profesionale pentru 35 de persoane din cadrul Consiliului Judetean Harghita pentru
operarea si administrarea DIGIT-HR in vederea oferirii unor servicii de calitate cetatenilor judetului. Formarea celor 35 de
persoane va cuprinde si un modul de dezvoltare durabila, egalitate de sanse, nediscriminare si egalitate de gen.</t>
  </si>
  <si>
    <t>Obiectivul general al proiectului consta în consolidarea capacitatii institutionale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Hunedoara, în vederea sprijinirii masurilor vizate de proiect.</t>
  </si>
  <si>
    <t>Obiectivul general al proiectului consta consolidarea capacitatii institutionale si eficientizarea activitatii la nivelul Municipiului Deva, prin
fundamentare strategica, simplificarea procedurilor administrative si reducerea birocratiei pentru cetateni, implementând masuri din
perspectiva back-office (adaptarea procedurilor interne de lucru), si front-office pentru serviciile publice furnizate.
OS1. Implementarea unor procedure simplificate pentru reducerea birocratiei pentru cetateni, în corespondenta cu
Planul integrat pentru simplificarea procedurilor administrative aplicabile cetatenilor, atât din perspectiva back-office,cât si frontoffice.
OS2. Dezvoltarea cunostintelor si abilitatilor personalului din cadrul Municipiului Deva, în vederea sprijinirii masurilor
vizate de proiect.
OS 3. Introducerea unor mecanisme si proceduri standard implementate la nivel local pentru fundamentarea deciziilor si
planificarea strategic pe termen lung.</t>
  </si>
  <si>
    <t>Obiectiv general:Consolidarea capacitatii Primariei Municipiului Petrosani de a asigura calitatea si accesul la serviciile publice oferite exclusiv de Primarie prin simplificarea procedurilor administratiei locale si reducerea birocratiei pentru cetateni                                                                     . OS1. Îmbunatațirea procesului de planificare strategica si alocare a resurselor în cadrul Primariei Municipiului Petrosani prin introducerea unui instrument informatic de bugetare participativa
OS2. Implementarea unor masuri administrative simplificate în relatia cu cetatenii, în corespondență cu Planul Integrat pentru simplificarea procedurilor administrative aplicabile cetatenilor, atât din perspectiva back-office (adaptarea procedurilor interne delucru, digitalizarea arhivelor), cât si front-office (prelucrarea si soluționarea on-line a solicitarilor cetațenilor).
3. OS3. Dezvoltarea cunostintelor si abilitatilor personalului din cadrul Primariei Municipiului Petrosani, în vederea sprijinirii masurilor vizate de proiect. Este avuta în vedere formarea/instruirea, evaluarea/testarea si certificarea competentelor/cunostințelor dobândite pentru 75 de persoane din cadrul grupului tinta, în ceea ce priveste simplificarea administrativa si planificarea strategica.</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</si>
  <si>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Îmbunatatirea procesului de planificare strategica si alocare a resurselor în cadrul Primariei Municipiului Lupeni prin introducerea unui sistem intern managerial certificat
2. OS2. Implementarea unor masuri de simplificare pentru cetateni - în corespondenta cu Planul Integrat pentru simplificarea procedurilor administrative aplicabile cetatenilor - atât din perspectiva back-office (adaptarea procedurilor interne de lucru, digitalizarea arhivelor), cât si front-office.
3. OS3. Dezvoltarea cunostintelor si abilitatilor personalului din cadrul Primariei Municipiului Lupeni, în vederea sprijinirii masurilor vizate de proiect. Este avuta în vedere formarea/instruirea, evaluarea/testarea si certificarea competentelor/cunostintelor dobândite pentru 70 de persoane din cadrul grupului tinta, în ceea ce priveste simplificarea procedurilor. Obiectivul general al
serviciilor de instruire îl constituie familiarizarea persoanelor din grupul tinta cu implicatiile simplificarii procedurilor administrative.</t>
  </si>
  <si>
    <t>Obiectivul general al proiectului consta în consolidarea capacitatii institutionale si eficientizarea activitatii la nivelul Municipiului Brad prin
planificare strategica, proceduri simplificate pentru reducerea birocratiei pentru cetateni si formarea personalului.
Obiectivele specifice ale proiectului
1. OS 1: Realizarea de proceduri standard pentru fundamentarea deciziilor si elaborarea documentatiilor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Actiune pentru Energie
Durabila si Clima – PAEDC”.
2. OS 2: Implementarea unor masuri de simplificare pentru cetateni,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</si>
  <si>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obtinerii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cetateni, in corespondenta cu Planul integrat pentru simplificarea
procedurilor administrative aplicabile cetatenilor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</si>
  <si>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Dezvoltarea si consolidarea capacitații administrative a instituției prin eficientizarea activitaților de prevenire si combatere a corupției în
administrația publica locala, promovarea eticii si integritații pentru îmbunatațirea performantelor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cunostintelor si a competențelor personalului si alesilor locali în ceea ce priveste masurile anticorupție.</t>
  </si>
  <si>
    <t>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</si>
  <si>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</si>
  <si>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calitatii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Judetul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calitatii se va realiza ca parte a procesului de implementare al acestor sisteme.
</t>
  </si>
  <si>
    <t>Obiectivul general al proiectului consta în consolidarea capacitatii institutionale si eficientizarea activitatii la nivelul Municipiului Hunedoara prin simplificarea procedurilor administrative si reducerea birocratiei pentru cetateni, implementând masuri din perspectiva back-office si front-office pentru serviciile publice vizând competentele partajate din domeniul ordinii si sigurantei publice si asistentei sociale.
Obiectivele specifice ale proiectului
1. OS1. Implementarea unor masuri de simplificare pentru cetateni în domeniul competentelor partajate,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</si>
  <si>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este consolidarea capacitatii administrative a Unitatii administrativ teritoriale (UAT) Municipiul Deva pentru sustinerea unui management performant prin introducerea si utilizarea instrumentului CAF 2020 aplicabil administratiei locale la nivelul UAT Municipiului Deva, în concordanta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functionare a institutiilor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autoritatii publice locale .</t>
  </si>
  <si>
    <t>Obiectivul general al proiectului/Scopul proiectului
Obiective proiect
Consolidarea capacitatii institutionale si eficientizarea activitatii la nivelul Primariei Municipiului Brad prin introducerea unui cadru comun
de autoevaluare pentru îmbunatatirea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</si>
  <si>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Obiectivul general al proiectului: Cresterea calitattii procesului decizional la nivelul Primariei Municipiului Lupeni, prin implementarea atat a unor instrumente de management strategic institutional care sa sustina planificarea strategica si fundamentarea politicilor publice,
respectiv evaluarea indicatorilor de performanta a politicilor publice adoptate, cat si a unei platforme informatice de gestiune integrata si
standardizata a serviciilor de asistenta sociala si a serviciilor politiei locale.                                                                                                                                                        Obiectiv specific 1: Dezvoltarea si implementarea unor mecanisme si instrumente de management strategic institutional care sa
sustina planificarea strategica si fundamentarea deciziilor la nivelul Primariei Municipiului Lupeni.                                                                                                  Obiectiv specific 2: Dezvoltarea si implementarea unor instrumente informatice inovatoare (aplicatie software integrata cu
componente de front-office si back-office) ce sustin eficientizarea activitatilor interne cat si reducerea birocratiei institutionale în
vederea furnizarii serviciilor de asistenta sociala cat si a serviciilor publice asigurate de politia locala.</t>
  </si>
  <si>
    <t>Obiectivul general al proiectului consta in consolidarea capacitatii institutionale si eficientizarea activitatii la nivelul Municipiului Urziceni prin simplificarea procedurilor administrative si reducerea birocratiei pentru cetateni, implementând masuri din perspectiva back-office (adaptarea procedurilor interne de lucru, digitalizarea arhivelor) si front-office pentru serviciile publice furnizate.                                 OS1. Simplificarea furnizarii serviciilor catre cetateni prin implementarea unei platforme integrate de servicii electronice care va
furniza digital fluxurile de lucru de baza din cadrul institutiei, reducând astfel întârzierile în procesul decizional cu impact asupra
activitatilor operative si va asigura accesul online la serviciile publice gestionate de UAT.
2. OS2. Îmbunatatirea abilitatilor si cunostintelor personalului UAT în domeniul utilizarii sistemelor informatice dezvoltate prin proiect</t>
  </si>
  <si>
    <t>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Urziceni din domeniul
urbanismului, asistentei sociale si sigurantei si ordinii publice
2. OS2: Dezvoltarea cunostintelor si abilitatilor personalului din cadrul Municipiului Urziceni, in vederea sprijinirii masurilor vizate de
proiect. Este avuta in vedere formarea/instruirea, evaluarea/testarea si certificarea competentelor/cunostintelor dobândite pentru
30 persoane din cadrul grupului tinta, in ceea ce priveste utilizarea solutiilor informatice implementate in cadrul proiectului</t>
  </si>
  <si>
    <t>Obiectivul general al proiectului este reprezentat de fundamentarea procesului decizional strategic în vederea promovarii dezvoltarii
urbane durabile a Municipiului Slobozia, prin elaborarea principalelor documente de planificare strategica si asigurarea corespondentei
acestora cu conditionalitatile perioadei de programare a fondurilor europene 2021-2027, precum si de simplificarea procedurilor
administrative si reducerea birocratiei pentru cetateni,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cunostintelor si abilitatilor personalului din Municipiul Slobozia în vederea utilizarii sistemului informatic integrat,
precum si a cunoasterii conditionalitatilor specifice pentru perioada de finantare 2021-2027, a arhitecturii programelor
operationale si a oportunitatilor de finantare, a procedurilor de prioritizare a proiectelor, de monitorizare a implementarii planurilor
de actiune si de evaluare a rezultatelor acestora, pentru documentele strategice elaborate. Obiectivul specific este în corelare cu
Activitatea 6 si cu Rezultatul de proiect 4.</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</si>
  <si>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cetatenilor cât si al personalului din administratia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</si>
  <si>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institutia publica solicitanta a unei proceduri interne specifice privind managementul riscurilor si
vulnerabilitatilor la fenomenul de coruptie în cadrul autoritatii publice locale
2. OS 2 - Elaborarea unui ghid de bune practici în institutia publica solicitanta cu scopul de a preveni fenomenul de coruptie si
conflictele de interese în administratia publica locala si de a stabili indicatori specifici de evaluare.
3. OS 3 - Formarea a 75 de persoane în vederea prevenirii si limitarii fenomenului de coruptie în institutiile publice locale.
4. OS 4 - Organizarea a 2 campanii de constientizare si a 3 workshop-uri cu tematici specifice de constientizare publica a
fenomenului de coruptie, promovarii transparentei în administratia publica locala si educatie in anticoruptie.</t>
  </si>
  <si>
    <t>Consolidarea capacitatii institutionale si eficientizarea activitatii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</si>
  <si>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 xml:space="preserve">Obiectiv general-Consolidarea capacitatii Primariei Municipiului Pascani de a asigura calitatea si accesul la serviciile publice oferite exclusiv de Primarie prin simplificarea procedurilor administratiei locale si reducerea birocratiei pentru cetatenii.
Obiective specifice:
OS1. Îmbunatatirea procesului de planificare strategica si alocare a resurselor în cadrul Primariei Municipiului Pascani
prin introducerea unui instrument informatic de bugetare participativa.
 OS2.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OS3. Dezvoltarea cunostintelor si abilitatilor personalului din cadrul Primariei Municipiului Pascani , în vederea sprijinirii masurilor vizate de proiect. Este avuta în vedere formarea/instruirea,evaluarea/testarea si certificarea competentelor/cunostintelor dobândite pentru 75 de persoane din cadrul grupului tinta, în ceea ce priveste planificarea strategica. </t>
  </si>
  <si>
    <t>Obiectivul general al proiectului consta in consolidarea capacitatii institutionale si eficientizarea activitatii la nivelul Municipiului PASCANI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</si>
  <si>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Obiectivul general al proiectului vizeaza consolidarea capacitattii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</si>
  <si>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vizeaza consolidarea capacitatii administrative la nivelul UAT - Judetul Iasi, în vederea realizarii
obiectivelor de dezvoltare a judetului Iasi, în concordanta cu liniile strategice europene, nationale si regionale si crearea de masuri de
simplificare pentru cetateni in concordanta cu SCAP.
Obiectivele specifice ale proiectului
1. OS.1 Realizarea Strategiei de Dezvoltare a Judetului Iasi pentru perioada 2021-2027. OS1 corespunde rezultatului de program
R1 – Mecanisme si proceduri standard implementate la nivel local pentru fundamentarea deciziilor si planificarea strategica pe
termen lung.
2. OS.2 Realizarea Strategiei de Transformare Digitala a Judetului Iasi. OS2 corespunde rezultatului de program R1 - Mecanisme si
proceduri standard implementate la nivel local pentru fundamentarea deciziilor si planificarea strategica pe termen lung..
3. OS.3 Implementarea unui portal pentru facilitarea accesului cetatenilor la serviciile publice furnizate de Consiliul Judetean Iasi.
OS 3 corespunde rezultatului de program R3 - Proceduri simplificate pentru reducerea birocratiei pentru cetateni la nivel local
corelate cu Planul integrat de simplificare a procedurilor administrative pentru cetateni implementate.
4. OS.4 Implementarea unei solutii informatice in vederea simplificarii procedurilor administrative si reducerii birocratiei pentru
cetateni - Realizarea unei platforme integrate pentru arhivare electronica si Constituirea unei arhive electronice
retrodigitalizate.OS 4 corespunde rezultatului de program R3 - Proceduri simplificate pentru reducerea birocratiei pentru cetateni
la nivel local corelate cu Planul integrat de simplificare a procedurilor administrative pentru cetateni implementate.</t>
  </si>
  <si>
    <t>Cresterea capacitatii UAT - Judetul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calitatii în cadrul aparatului propriu al UAT - Judetul Ilfov în vederea îmbunatatirii calitatii serviciilor oferite comunitatii judetului Ilfov. Acest obiectiv va fi atins în principal prin realizarea documentatie SMC pentru implementarea cerintelor SR EN ISO 9001:2015 la nivelul aparatului propriu al UAT - Judetul Ilfov si certificarea UAT -Judetul Ilfov în urma unei proceduri de audit extern de certificare conform SR EN ISO 9001:2015.
2. OS2. Dezvoltarea si implementarea unui sistem de management al investitiilor publice, în concordanta cu procedurile si standardele specifice SR EN ISO 9001:2015. Acest obiectiv va fi atins prin dezvoltarea unui sistem IT care va concentra procedurile, standardele si activitatile specifice aparatului administrativ al UAT - Judetul Ilfov, în care sunt implicati cel putin 150 salariati si membri ai structurilor deliberative.
3. OS3. Îmbunatatirea competentelor alesilor locali, ale personalului de conducere si executie din UAT - Judetul Ilfov pentru cresterea performantei autoritatilor locale. Acest obiectiv va fi atins prin activitati de formare – se vor organiza 2 tipuri de cursuri pentru cel putin 120 persoane.</t>
  </si>
  <si>
    <t>Obiectivul general al proiectului este reprezentat de eficientizarea serviciilor publice oferite cetatenilor din judetul Ilfov, în vederea reducerii birocratiei, prin facilitarea accesului la o platforma online dezvoltata prin implementarea unui sistem informatic la nivelul aparatului de specialitate al Consiliului Judetean Ilfov.OS1 - Implementarea unei solutii informatice la nivelul aparatului de specialitate al Consiliului Judetean Ilfov în vederea îmbunatatirii modului de acordare a serviciilor publice;OS2- Asigurarea capacitatii tehnice a Consiliului Judetean Ilfov în vederea oferirii serviciilor publice online prin achizitionarea, instalarea si operationalizarea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</si>
  <si>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1. Dezvoltarea si implementarea unor mecanisme si proceduri standard pe baza unei metodologii fundamentate pe analiza ex-post
a procesului decizional si a planificarii strategice la nivelul UAT-Judetul Ilfov în perioada 2014-2018
2. Dezvoltarea si implementarea unui program de formare având ca obiect planificarea strategica si fundamentarea deciziilor în
vederea întaririi capacitatii a 80 de angajati (demnitari, consilieri, personal de conducere si executie) ai UAT – Judetul Ilfov.</t>
  </si>
  <si>
    <t>Îmbunatatirea capacitatii administrative a Consiliului Judetean Ilfov si a institutiilor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integritatii, reducerea vulnerabilitatilor si a riscurilor de coruptie sau a incidentelor de integritate în cadrul institutiei,
prin implementarea procedurilor de management anticoruptie si certificarea în acord cu standardul ISO 37001 Sisteme de
management anti-mita la Consiliul Judetean Ilfov;
2. Implementarea unui mecanism de evaluare a riscurilor de coruptie în cadrul Consiliului Judetean Ilfov precum si identificarea
profilelor functiilor din cadrul aparatului public local supuse acestui risc
3. Îmbunatatirea cunostintelor si competentelor în domeniul prevenirii coruptiei, transparentei, eticii si integritatii personalului supus
riscurilor de coruptie, din cadrul Consiliului Judetean Ilfov precum si din cadrul UAT-urilor din judetul Ilfov.
4. Cresterea rolului comunitatilor locale din judetul Ilfov in prevenirea coruptiei prin informarea acestora cu privire la importanta si
impactul masurilor anti-coruptie</t>
  </si>
  <si>
    <t>Consolidarea capacitatii institutionale si eficientizarea activitatii la nivelul CJI în ceea ce priveste exercitarea atributiilor, prin
implementarea de masuri menite sa ajute la standardizarea modului de lucru si activitatilor specifice, la cresterea gradului de
interoperabilitate a sistemelor informatice si interconectare, atât din perspectiva back-office, cât si din perspectiva front office
Obiectivele specifice ale proiectului
1. OS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</si>
  <si>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proiectului este implementarea si certificarea sistemului propriu de management al calitatii implementat în cadrul Consiliului Judetean Maramures, conform standardelor ISO 9001 – 2015.                                                                                                                                                                         1.Elaborarea documentelor necesare pentru realizarea, implementarea si certificarea unui sistem propriu de management al calitatii (SMC) implementat în cadrul Consiliului Judetean Maramures, conform standardelor ISO 9001 - 2015;
2. Instruirea unui numar de 160 persoane – aparatul propriu al Consiliului Judetean Maramures în utilizarea, mentinerea si dezvoltarea SMC, din care 3 functii de demnitate publica, 130 functii publice si 27 functii contractuale;
3. Realizarea unui sistem informatic suport al SMC cu adresabilitate întregului personal;
4. Instruirea unui numar minim de 20 persoane din aparatul propriu al Consiliului Judetean Maramures în utilizarea aplicatiilor
informatice din cadrul sistemului informatic suport.</t>
  </si>
  <si>
    <t>1. Elaborarea documentelor dezvoltarii pe perioada urmatoare a judetului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traditionala Consiliul Judetean Maramures, în perioada de implementare a
proiectului
3. Realizarea unui sistem informatic de tip portal informatic care sa asigure interfata on line pentru cetateni cu scopul reducerii
birocratiei si pentru furnizarea de informare /asistenta, formulare, primire solicitari, emitere documente, efectuarea plati
impozitelor si taxelor on line, inclusiv sistem informatic de gestiune a informatiilor geospatiale (GIS) în perioada de implementare
a proiectului.
4. Instruirea unui numar de 48 persoane – aparatul propriu al Consiliului Judetean Maramures în diverse teme legate de planificarea
strategica, urbanism si amenajarea teritoriului, politici publice, etc., în perioada de implementare a proiectului.</t>
  </si>
  <si>
    <t>Obiectivul general al proiectului
Îmbunatatirea proceselor si implementarea de masuri de simplificare a procedurilor administrative pentru cetateni în domeniul sociomedical.
Obiectivele specifice ale proiectului
1. OS 1. Furnizarea instrumentelor software de interactiune cu cetateanul în domeniul social si socio-medical
2. OS 2. Retrodigitizarea arhivei Municipiului Baia Mare
3. OS 3. Cresterea capacitatii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</si>
  <si>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salariattilor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</si>
  <si>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 xml:space="preserve">Obiectivul general al proiectului consta in consolidarea capacitații instituționale si eficientizarea activitații la nivelul Municipiului Drobeta
Turnu Severin prin simplificarea procedurilor administrative si reducerea birocratiei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cunostintelor si abilitatilor personalului din Primaria Municipiului Drobeta Turnu Severin pentru aplicarea
procedurilor de prioritizare a proiectelor, de monitorizare a implementarii planurilor de actiune, de evaluare a rezultatelor acestora,
pentru documentele strategice elaborate si de instruire pentru folosirea aplicatiei informatice implementate. 
4. OS.4. Implementarea unor masuri de simplificare pentru cetateni, in corespondenta cu Planul integrat pentru simplificarea
procedurilor administrative aplicabile cetatenilor din perspectiva front-office, dar si back-office prin achizitia si implementarea unei
platforme integrate (portal)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Drobeta Turnu Severin. </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</si>
  <si>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judetul Mehedinti, din regiunea mai putin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birocratiei prin dezvoltarea unor module software specifice domeniilor
partajate ale autoritati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sustine Axa prioritara 2 POCA: „Administratie publica si sistem
judiciar accesibile si transparente”, Obiectivul Specific 2.1. prin dezvoltarea strategiei de dezvoltare Municipiului, coroborata cu
implementarea de masuri de reducere a birocratiei si simplificare pentru cetateni,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mentionate în sectiunea ”Obiective specifice” vor conduce la îndeplinirea obiectivului general al
proiectului.
Activitatile prevazute in cadrul acestuia contribuie semnificativ la atingerea obiectivelor programului si ai indicatorilor de realizare si
rezultat, în conformitate cu specificatiile din Ghidul Solicitantului pentru CP 13/2019 si corelate cu ”Planul integrat pentru simplificarea
procedurilor adminsitrative aplicabile cetatenilor” si cu ”Ghidul pentru planificarea si fundamentarea procesului decizional din adminsitratia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Activitatii 5
Proiectul raspunde obiectivului general II 1.5. propus prin Strategia pentru consolidarea administratiei publice 2014 - 2020 (SCAP) ”
Consolidarea transparentei procesului decizional”, deoarece prin proiect se stimuleaza dezvoltarea de parteneriate între administratia
publica locala si companiile IT în vederea crearii unor aplicatii de date deschise (aplicatii informatice de tip front-office si back-office) prin
care se faciliteaza accesul la servicii online pentru o mai buna implementare a regulilor transparentei procesului decizional.</t>
  </si>
  <si>
    <t>Cresterea calitatii serviciilor publice furnizate de catre Primaria Municipiului Tîrgu Mures cetatenilor prin îmbunatatirea sistemului de management al calitatii si performantei în concordanta cu Planul de actiuni pentru implementarea etapizata a managementului calitatii în autoritati si institutii publice 2016-2020.
Obiectivele specifice ale proiectului
1. Cresterea transparentei institutionale si a proceselor decizionale din cadrul municipiului Tîrgu Mures cu 20%, prin introducerea unui sistem unitar de mangement: ISO 9001:2015-Managementul calitatii
2. Cresterea calitatii serviciilor publice cu 20%, prin instruirea unui numar de 102 angajati cu functii de conducere din cadrul municipiului Tîrgu Mures în domeniul managementului calitatii.
3. Consolidarea sistemului de management al calitatii la nivelul municipiului Tîrgu Mures cu cel putin 20% - organizare 1 Conferinta privind managementul calitatii în administratia publica.</t>
  </si>
  <si>
    <t>Consolidarea capacitatii Primariei Municipiului Sighisoara de a asigura calitatea si accesul la serviciile publice oferite exclusiv de primarie prin simplificarea procedurilor administratiei locale si reducerea birocratiei pentru cetateni</t>
  </si>
  <si>
    <t>Consolidarea capacitații Consiliului Judetean Mures de a asigura calitatea si accesul la serviciile publice oferite prin simplificarea
procedurilor administrative si reducerea birocratiei pentru cetațeni.</t>
  </si>
  <si>
    <t>Obiectivul general al proiectului/Scopul proiectului
Imbunatatirea procesului de planificare strategica si implementarea de masuri de simplificare a procedurilor administrative pentru cetateni
Obiectivele specifice ale proiectului
1. Imbunatatirea procesului de planificare strategica si alocare a resurselor in cadrul Municipiului Reghin si facilitarea importului de
bune practici la nivel strategic în domeniile socio-medical si urbanistic
2. Îmbunatatirea procesului de planificare strategica – Actualizarea SIDU si elaborarea strategiei de Smart City a Municipiului
Reghin
3. Simplificarea interactiunii cetatenilor cu administratia publica locala prin implementarea de instrumente informatice de eGuvernare
în domeniul social si urbanistic.
4. Retrodigitizarea documentelor din arhiva fizica a Municipiului Reghin</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</si>
  <si>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utilizarea solutiilor informatice implementate in cadrul proiectului</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</si>
  <si>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calitatii CAF si ISO, aplicabile administratiei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</si>
  <si>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Obiectivul general al proiectului consta consolidarea capacitatii institutionale si eficientizarea activitatii la nivelul Municipiului Roman, prin simplificarea procedurilor administrative si reducerea birocratiei pentru cetateni, implementând masuri din perspectiva back-office (adaptarea procedurilor interne de lucru, digitalizarea arhivelor), si front-office pentru serviciile publice furnizate.                                                                                                                                                                                                                                                                                                                                                                                                     OS1.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Roman, în vederea sprijinirii masurilor vizate de proiect. Este avuta în vedere formarea/instruirea, evaluarea/testarea si certificarea competentelor/cunostintelor dobândite pentru 50 persoane din cadrul grupului tinta, în ceea ce priveste utilizarea solutiilor informatice implementate în cadrul proiectului (R3).</t>
  </si>
  <si>
    <t>Obiectivul general al proiectului vizeaza consolidarea capacitatii institutionale si eficientizarea activitatii la nivelul Municipiului Roman prin
dezvoltarea capacitatii de planificare strategica si prin continuarea procesului de simplificare a procedurilor administrative si reducerea
birocratiei pentru cetateni, implementând masuri din perspectiva back-office si front-office pentru serviciile publice furnizate aferente
competentelor partajate ale administratiei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institutional pentru perioada 2021-
2023 si a Planului de mobilitate urbana durabila.
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Roman aferente competentelor partajate ale
administratiei publice locale.
3. Promovarea modernizarii administratiei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</si>
  <si>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 xml:space="preserve">Obiectivul general al proiectului este: sprijinirea masurilor de prevenire a coruptiei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coruptiei si a indicatorilor de evaluare în
autoritatile si institutiile publice
3. OS3: Îmbunatatirea cunostintelor si a competentelor personalului din Primaria Municipiului Caracal în ceea ce
priveste prevenirea coruptiei.
</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</si>
  <si>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capacitatii manageriale caracteristice unei administratii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competente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</si>
  <si>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Obiectivul general al proiectului îl reprezinta eficientizarea activitatii administratiei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capacitatii de a realiza o planificare strategica a Judetului Prahova bazata pe prioritizarea actiunilor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</si>
  <si>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Obiectivul general al proiectului consta in consolidarea capacitatii institutionale si eficientizarea activitatii la nivelul Municipiului Câmpina
prin simplificarea procedurilor administrative si reducerea birocratiei pentru cetateni, implementând masuri din perspectiva back-office
(adaptarea procedurilor interne de lucru, digitalizarea arhivelor) si front-office pentru serviciile publice furnizate.</t>
  </si>
  <si>
    <t>Consolidarea capacitatii institutionale a Primariei Municipiului Ploiesti prin monitorizarea si evaluarea continua a calitatii si performantei
administratiei locale în vederea optimizarii proceselor administrative ale primariei si adoptarea unor masuri de crestere a implicarii
cetatenilor în procesul de dezvoltare urbana si a transparentei actului administrativ, imbunatatirea mecanismelor de control, prin
implementarea unui sistem informatic inovativ de tip portal.
1. 1. Implementarea unor mecanisme si proceduri standard - Plan strategic institutional 2020 – 2021, pentru a creste
eficienta actiunilor adimintrative la nivelul Municipiului Ploiesti.
2. 2. Optimizarea proceselor administrative ale primariei prin implementarea unui sistem informatic integrat de management
al calitatii si performantei care sa asigure gestiunea, monitorizarea si evaluarea continua a calitatii si performantei administratiei
Municipiului Ploiesti.
3. 3. Simplificarea furnizarii serviciilor catre cetateni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Îmbunatatirea abilitatilor si cunostintelor personalului municipiului Ploiesti în domeniul utilizarii sistemelor informatice
dezvoltate prin proiect si totodata îmbunatatirea competentelor profesionale a unui numar de 50 persoane din diferite niveluri
ierarhice (personal de conducere si de executie) din cadrul Municipiului Ploiesti pe teme specifice (ex. planificare strategica,
planificare bugetara, politici locale, fundamentare, elaborare, implementare, monitorizare si evaluare a deciziilor la nivelul
administratiei publice locale, etc)</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</si>
  <si>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performantei personalului angajat si deservirea cetatenilor.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Birocratiei pentru Cetateni. Rezultatul 3 contribuie la atingerea acestui obiectiv.
3. Obiectiv specific 3: Dezvoltarea abilitatilor personalului din cadrul Primariei Municipiului Ploiesti si al institutiilor subordonate
Primariei Ploiesti prin asigurarea formarii a 20 persoane din grupul tinta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</si>
  <si>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cetatenilor, in vederea
implementarii masurilor anticoruptie.</t>
  </si>
  <si>
    <t>Dezvoltarea unui management performant si facilitarea accesului la servicii de asistenta sociala de calitate in judetul Prahova, prin
reducerea birocratiei, cresterea eficientei, transparentei si integritatii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asistenta sociala din judetul Prahova prin implementarea sistemului informatic de Suport pentru Accesul
la Servicii Sociale (SASS), la nivelul Consiliului Judetean Prahova.
2. OS2. Dezvoltarea cunostintelor si abilitatilor profesionale pentru 60 de persoane din GT pentru operarea si administrarea SASS.
Formarea celor 60 de persoane va cuprinde un modul de dezvoltare durabila, egalitate de sanse, nediscriminare si egalitate de
gen.</t>
  </si>
  <si>
    <t>Scopul proiectului consta în optimizarea proceselor si cresterea eficientei serviciilor publice gestionate partajat de catre Primaria
Municipiului Câmpina, prin punerea la dispozitie de servicii administrative si guvernare locala utilizând mijloace electronice prin
implementarea unui sistem informatic integrat cu functii de e-administratie si e-guvernare, elaborarea unei Strategii Integrate de
Dezvoltare Urbana pentru Municipiul Câmpina, precum si implementarea si certificarea unui sistem de management al calitatii - ISO 9001.
Obiectivele specifice ale proiectului
1. Mecanisme si proceduri standard implementate la nivel local - dezvoltarea unei Strategii Integrate de Dezvoltare Urbana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gestionate partajat de
catre Primaria Municipiului Câmpina cu ajutorul unui Sistem Informatic Integrat în domeniile: ordinea si siguranta publica;
prevenirea si gestionarea situatiilor de urgenta la nivel local.
4. Dezvoltarea gradului de cunostinte si abilitati ale personalului din Primaria Municipiului Câmpina, în vederea sprijinirii
masurilor/actiunilor vizate de proiect prin intermediul unor cursuri de formare pentru serviciile digitalizate în cadrul proiectului,
pentru implementarea si folosirea sistemului de management al calitatii etc.</t>
  </si>
  <si>
    <t>Obiectivul general: Cresterea gradului de constientizare a pericolului pe care-l reprezinta actul de corupție la nivelul administratiei publice locale.
Obiectivele specifice ale proiectului:
1. Cresterea gradului de constientizare si a nivelului de educatie anticorupție pentru personalul din cadrul Consiliului Județean Salaj si pentru alesi locali din județ.
2. Prevenirea si combaterea coruptiei în cadrul Consiliului Județean Salaj prin constituirea si consolidarea cadrului procedural
existent.
3. Cresterea gradului de constientizare publica prin organizare campanii de educatie anticoruptie la nivelul institutiilor si serviciilor publice aflate în subordinea Consiliului Județean Salaj si la nivelul unitaților administrativ-teritoriale din Județul Salaj.</t>
  </si>
  <si>
    <t>Obiectivul general al proiectului: 
Consolidarea capacitatii Consiliului Judetean Salaj de a asigura calitatea si accesul la serviciile publice oferite exclusiv de institutie catre cetateni prin simplificarea procedurilor administratiei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birocratiei existente
2. Reducerea la maxim a fluxului clasic pe hârtie pentru urmatoarele servicii oferite exclusiv de Consiliul Judetean Salaj pentru: 
       a) Obtinere informatii despre concesionare/închieirere/vânzare bunuri proprietate publica sau privata
       b) Obtinere Acord prealabil lucrari în zona drumurilor judetene
       c) Obtinere Acord privind efectuarea de lucrari în cladirile de patrimoniu judetean
       d) Solicitare sprijin financiar cazuri sociale
       e) Comunicarea privind începerea lucrarilor de construire/desfiintare
       f) Comunicarea privind încheierea executiei lucrarilor de construire/desfiintare
       g) Licenta de transport
3. Furnizarea unui canal îmbunatatit de comunicatie informationala pentru cetateni
4. Simplificarea fluxurilor interne prin eliminarea unor acte doveditoare eliberate deja de catre institutie
5. Elaborarea unui instrument de management si evaluare a performantei institutionale privind serviciile livrate prin înfiintarea
canalului de comunicatie nou reprezentat de portalul de servicii electronice
6. Îmbunatatirea accesului la informatii prin up-gradarea site-ului web al institutiei pentru a fi receptiv, intuitiv si accesibil persoanelor
cu dizabilitati
7. Elaborarea unui instrument extranet pentru confirmarea veridicitatii actelor emise de institutie
8. Cresterea eficientei serviciilor oferite prin instruirea a cel putin 70 de angajati din aparatul propriu al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</si>
  <si>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Calitatii si Performantei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</si>
  <si>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implementarea unitara a instrumentelor de planificare strategica si financiara care sa susțina fundamentarea deciziilor privind politicile
publice adoptate, prioritizarea investitiilor realizate în diverse sectoare cât si dezvoltarea institutionala.
Obiectivele specifice ale proiectului
1. Evaluarea gradului de implementare a Strategiei de dezvoltare a judetului Salaj pentru perioada 2015-2020, suport pentru
elaborarea noii strategii având ca temei orientarea pe rezultate si performanta - întarirea rolului monitorizarii si evaluarii sistemului
de indicatori;
2. Dezvoltarea capacitatii instituționale în elaborarea de criterii de prioritizare a investitiilor în diverse sectoare: infrastructura,
sanatate, educatie si asistenta sociala, pentru realizarea bugetului aferent anului 2021 si 2022.
3. Sustinereaunui management performant la nivelul Consiliului Judetean Salaj prin dezvoltarea capacitatii de planificare strategica
si de fundamentare a deciziilor pentru elaborarea Strategiei de Dezvoltare a Judetului Salaj pentru perioada 2021-2027.</t>
  </si>
  <si>
    <t>OBIECTIV GENERAL: Introducerea si extinderea de sisteme si standarde comune în administratia publica locala ce optimizeaza procesele orientate catre beneficiari în concordanta cu SCAP.
OS 1. Introducerea utilizarii de instrumente de management ale calitatii si performantei (ISO9001:2015) în cadrul Serviciului public Politia Locala Satu Mare, Centrul Cultural ”G.M.Zamfirescu”, Teatrul de Nord Satu Mare si Filarmonica "Dinu Lipatti" Satu Mare.
OS 2. Sprijin privind tranzitia de la instrumentul de management ale calitatii si performantei ISO9001:2008 la ISO9001:2015 în cadrul Primariei Municipiului Satu Mare si Directia de Evidenta a Persoanelor a municipiului Satu Mare.
OS 3. Dezvoltarea abilitatilor unui numar de 50 de angajati privind sistemul de management al calitații, din cadrul institutiilor publice locale implicate în derularea proiectului.</t>
  </si>
  <si>
    <t>Obiectivul general al proiectulu
Dezvoltarea si implementarea de masuri de simplificare privind serviciile furnizate catre cetatenii municipiului Satu Mare în scopul
reducerii birocratiei, respectiv sprijinirea Primariei municipiului Satu Mare pentru a implementa masuri de simplificare pentru cetateni în
corespondenta cu Planul integrat pentru simplificarea procedurilor administrative aplicabile cetatenilor. Prin realizarea obiectivului general vor fi îmbunatatite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interdependentele dintre activitati, la nivelul diagramei Gantt, precum si interdependentele raportate la durata de implementare si la capacitatea resurselor alocate.
Obiectivele specifice ale proiectului
1. Digitalizare si implementare solutii soft în vederea simplicarii procedurilor catre cetateni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cetateni, introducând servicii specifice pentru nevazatori / cetateni cu deficiente de vedere sau de alt
tip;
3. Digitalizarea proceselor de administrare a documentelor necesare prin interconectarea sistemelor de backoffice (sistem de
incasari, managementul documentelor) pentru a facilita functionarea platformei publice;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</si>
  <si>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competentelor partajate ale administratiei publice locale.
Obiectivele specifice ale proiectului
1. OS1: Dezvoltarea capacitatii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Carei din domeniul urbanismului si
asistentei sociale.
3. OS3: Dezvoltarea cunostintelor si abilitatilor personalului din cadrul Municipiului Carei,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</si>
  <si>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Obiectivul general al proiectului/Scopul proiectului
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</si>
  <si>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consta în consolidarea capacitatii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</si>
  <si>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Introducerea de standarde si sisteme comune in administratia publica locala ce optimizeaza procesele catre beneficiari în concordanta cu
SCAP, elaborarea PMUD 2023-2030 în scopul obtinerii de finantari aferente perioadei 2021-2027. Obiectivul general al proiectului
contribuie la cresterea calitatii procesului decizional la nivelul administratiei publice locale a UAT Municipiul Satu Mare.
Obiectivele specifice ale proiectului
1. Elaborarea Planului de Mobilitate Urbana Durabila a Municipiului Satu Mare 2023-2030, având în vedere contextul pregatirii
noului cadru strategic multianual de programare 2021-2027, dar si în contextul noilor tendinte de dezvoltare a mobilitatii urbane .</t>
  </si>
  <si>
    <t>OBIECTIV GENERAL: Îmbunatatirea capacitatii administrative a Consiliului Judetean Sibiu de a creste integritatea si preveni coruptia, prin dezvoltarea si implementarea unui standard de integritate, prin dezvoltarea si implementarea unui mecanism de cooperare cu societatea civila si prin cresterea nivelului de educatie anticoruptie a personalului din cadrul institutiei.
Obiectivele specifice ale proiectului
1. OBIECTIV SPECIFIC 1: Dezvoltarea unui standard de integritate, ca mecanism aplicabil la nivelul CJ Sibiu, în corespondenta cu SNA 2016-2020 si raportat la SCAP, prin Elaborarea a minimum 5 politici si proceduri operationale/de sistem, cu indicatorii aferenti si prin dezvoltarea unui sistem de avertizare a iregularitatilor si a posibilelor fapte de coruptie la nivelul institutiei publice.
2. OBIECTIV SPECIFIC 2: Implementarea unui standard de integritate, mecanism aplicabil în cadrul CJ Sibiu în vederea cresterii integritatii si reducerii vulnerabilitatii la coruptie, implementat prin Hotarâre de CJ, cu ajutorul unui manual de implementare elaborat în cadrul proiectului.
3. OBIECTIV SPECIFIC 3: Dezvoltarea si implementarea unui mecanism de cooperare cu societatea civila pentru monitorizarea si evaluarea implementarii masurilor anticoruptie la nivelul CJ Sibiu, în scopul monitorizarii si evaluarii implementarii masurilor anticoruptie aplicabile la nivel de institutiei, în corelare cu Strategia Nationala Anticoruptie 2016-2020.
4. OBIECTIV SPECIFIC 4: Cresterea nivelului de educatie anticoruptie în rândul personalului de conducere si executie din cadrul institutiei CJ Sibiu, prin organizarea de cursuri de formare/ perfectionare în domeniul prevenirii coruptiei, eticii si integritatii.</t>
  </si>
  <si>
    <t>Obiectiv general:Dezvoltarea si implementarea unui Sistem de Management al Calitatii si Performantei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capacitatii institutionale.                 OBIECTIV SPECIFIC 1: Standardizarea proceselor de lucru la nivelul Consiliului Judetean Sibiu, asigurarea eficientizarii acestora
si corelarii între sistemul de management al performantei si calitatii cu sistemul de control intern managerial existent la nivelul
institutiei, în scopul optimizarii proceselor orientate catre beneficiari în concordanta cu SCAP si consolidarii capacitatii
institutionale a CJ Sibiu.
2. OBIECTIV SPECIFIC 2: Actualizarea si extinderea sistemului informatic de management al proceselor si documentelor la nivelul
Consiliului Judetean Sibiu, prin includerea de facilitati inovative, în vederea dezvoltarii si consolidarii unui Sistemul de
Management al Calitatii si Performantei unitar si eficient care va contribui la optimizarea proceselor orientate catre beneficiari în
concordanta cu SCAP.
3. OBIECTIV SPECIFIC 3: Îmbunatatirea cunostintelor si abilitatilor a 80 de persoane, reprezentând personalul din cadrul Consiliului
Judetean Sibiu privind implementarea, respectarea si actualizarea continua a standardelor de management al calitatii, prin
sesiunile de formare profesionala clasica si e-learning, actiuni de networking si schimb de bune practici, în vederea sprijinirii
masurilor si actiunilor prevazute de OS2.1 si implicit de proiect pentru optimizarea proceselor orientate catre beneficiari.</t>
  </si>
  <si>
    <t>Obiectivul general al proiectului este cresterea calitatii actului administrativ la nivelul Municipiului Sibiu, prin abordarea sistematica a doua
elemente cheie care asigura aceasta crestere de calitate.Obiectivele specifice ale proiectului
1. OBIECTIVUL SPECIFIC 1: Dezvoltarea sistemului de management al calitatii la Primaria Municipiului Sibiu pe baza autoevaluarii,
planificarii remediilor pentru cresterea calitatii si standardizarii proceselor si activitatilor, prin utilizarea de instumente standard
recomandate la nivel international (ISO9001:2015), european (CAF) si national („Planul de actiuni pentru implementarea etapizata
a managementului calitatii în autoritati si institutii publice 2016-2020”).
2. OBIECTIVUL SPECIFIC 2: Cresterea accesului online la serviciile publice gestionate de Primaria Municipiului Sibiu si institutiile
din subordinea sa, în vederea reducerii birocratiei pentru cetateni la (a) solicitarea si primirea în mod automatizat a unor
documente, certificate, autorizatii si avize, (b) efectuarea de plati pentru servicii publice, taxe si impozite locale si (c) cresterea
accesibilitatii registraturii prin dezvoltarea unui sistem non-stop de auto-înregistrare a documentelor depuse de cetateni.
3. OBIECTIVUL SPECIFIC 3: Îmbunatatirea proceselor de management al documentelor curente si arhivate prin extinderea solutiei
digitale de administrare a documentelor nou create si dezvoltarea arhivei electronice, în vederea eliminarii erorilor si scurtarii
timpului de asteptare pentru cetateni pentru orice eliberare a oricarui document sau raspuns
4. OBIECTIVUL SPECIFIC 4: Cresterea nivelului de competenta a personalului Primariei Municipiului Sibiu si a institutiilor
subordonate CL pentru cresterea calitatii serviciilor locale prin implementarea corecta a sistemelor de management al calitatii si
gestionarea eficienta a solutiilor informatice care permit reducerea birocratiei.a unor interfete prietenoase de interactiune cu cetatenii si scaderea poverii administrative la nivelul acestora, cât si prin scaderea
poverii administrative si a timpului de prelucrare a documentelor la nivelul autoritatii publice locale, ceea ce va scadea corelativ timpul de
asteptare al cetatenilor pentru furnizarea unui serviciu public si va elimina erori generate de gestionarea unui numar mare de documente
înregistrate exclusiv pe hârtie (pentru care mecanismele de verificare se bazeaza exclusiv pe atentia umana).</t>
  </si>
  <si>
    <t>Obiectivul general: Optimizarea proceselor orientate catre beneficiari în concordanta cu SCAP în cadrul administratiei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Judetean Sibiu, prin dezvoltarea de mecansisme de participare publica, prioritizare a investitiilor si prin desfasurarea unui
exercitiu amplu de planificare strategica si a politicilor publice permitând atât fundamentarea solida a tuturor investitiilor si
deciziilor în perioada 2020-2030, cât si cresterea nivelului de competenta la nivelul insitutiei printr-o învatare experientiala.
2. OBIECTIVUL SPECIFIC 2: Cresterea accesului online la serviciile publice gestionate de Consiliul Judetean Sibiu si institutiile din
subordinea sa în vederea reducerii birocratiei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competenta a personalului Consiliului Judetean Sibiu si a institutiilor
subordonate în vederea si pentru gestionarea eficienta a solutiilor informatice care permit simplificare si reducerea birocratiei
pentru cetateni.</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</si>
  <si>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actiune pentru documentele strategice elaborate.
Obiectivul specific este în corelare cu Activitatea 5 si cu Rezultatul de proiect 2.</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</si>
  <si>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solutiei Geographical Information System, cu precadere în
vederea eficientizarii furnizarii de servicii urbanistice de calitate de catre Consiliul Judetean Sibiu</t>
  </si>
  <si>
    <t>Obiectivul general al proiectului propus spre finantare este consolidarea capacitatii institutionale a beneficiarului de a asigura calitatea si
accesul la serviciile publice oferite partajat de Primarie prin simplificarea procedurilor administratiei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concordanta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</si>
  <si>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 xml:space="preserve">1. Implementarea unor masuri de simplificare a procedurilor administrative pentru cetateni,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Primariei Municipiului Suceava, în vederea sprijinirii masurilor vizate
de proiect.
</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</si>
  <si>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</si>
  <si>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consta in consolidarea capacitatii institutionale si eficientizarea activitatii la nivelul Municipiului Falticeni
prin planificare strategica, simplificarea procedurilor administrative si reducerea birocratiei pentru cetateni, implementând masuri din
perspectiva back-office (optimizarea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Planului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Falticeni.
3. OS3. Dezvoltarea cunostintelor si abilitatilor personalului din cadrul Municipiului Falticeni,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</si>
  <si>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vizeaza consolidarea capacitatii administrative la nivelul UAT - Judetul Suceava, în vederea realizarii
obiectivelor de dezvoltare a judetului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</si>
  <si>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Vatra Dornei,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</si>
  <si>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continuarea masurilor de consolidare a capacitatii institutionale si eficientizarea activitatii la
nivelul Primariei Municipiului Câmpulung Moldovenesc,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delucru, digitalizarea arhivelor) si front-office pentru serviciile publice furnizate, aferente competentelor exclusive ale primariei.</t>
  </si>
  <si>
    <t>Obiectivul general al proiectului consta in continuarea masurilor de consolidare a capacitatii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OS2.Extindere masuri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zona de back-office si vor fi asigura interoperabilitatea si integrarea cu
celelalte sisteme informatice ale primariei .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Municipiului Vatra Dornei, in vederea sprijinirii masurilor vizate
de proiect. Este avuta in vedere formarea/instruirea, evaluarea/testarea si certificarea competentelor/cunostintelor dobândite
pentru 90 de persoane (personal de conducere, de executie si alesi locali), din care 15 persoane pentru BSC si 45 de persoane
pentru CAF, precum si 30 de persoane din cadrul grupului tinta in ceea ce priveste utilizarea solutiilor informatice implementate in
cadrul proiectului – aferente Rezultatului de program 5.</t>
  </si>
  <si>
    <t>Obiectivul general al proiectului consta in continuarea masurilor de consolidare a capacitatii institutionale si eficientizarea activitatii la
nivelul Primariei Municipiului Falticeni,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functtionarea instituttiilor publice) si BSC (Balanced
Scorecard – sistem de management strategic), si extinderea masurilor de simplificare a procedurilor administrative si reducerea birocratiei
pentru cetateni, implementând masuri din perspectiva back-office (adaptarea procedurilor interne de lucru, digitalizarea arhivelor)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 Extinderea masurilor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de back-office si vor fi asigura interoperabilitatea si
integrarea cu celelalte sisteme informatice ale primariei.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Primariei Municipiului Falticeni, in vederea sprijinirii masurilor
vizate de proiect. Este avuta in vedere formarea/instruirea, evaluarea/ testarea si certificarea competentelor/cunostintelor
dobândite pentru 120 de persoane (personal de conducere, de executie si alesi locali), din care 30 de persoane pentru BSC si 60
de persoane pentru CAF, precum si 30 de persoane, din cadrul grupului tinta, in ceea ce priveste utilizarea solutiilor informatice
implementate in cadrul proiectului – aferente Rezultatului de program 5;</t>
  </si>
  <si>
    <t>Obiectiv general: 
Obiectivul general al proiectului este îmbunatatirea capacitatii institutionale si de planificare strategica a administratiei publice din județul Teleorman, în vederea cresterii calitatii deciziilor si a dezvoltarii mecanismelor de fundamentare a initiativelor de politici publice la nivel județean.
Obiective specifice:
1- Elaborarea Strategiei de dezvoltare durabila a judetului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capacitatii de implementare eficienta a celor doua documente strategice</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</si>
  <si>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t>
  </si>
  <si>
    <t>Obiectivul general al proiectului vizeaza consolidarea capacitatii institutionale si eficientizarea activitatii la nivelul Primariei Municipiului
Alexandria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</si>
  <si>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calitatii, structurat pe baza cerintelor standardului
international ISO 9001:2015, care optimizeaza procesele orientate catre beneficiari in concordanta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</si>
  <si>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Obiectivul General.
Dezvoltarea unui management performant la nivelul Municipiului Lugoj, în vederea cresterii calitații, eficienței, transparenței si integritații
serviciilor publice oferite cetațenilor, institutiilor administrației publice centrale si locale, operatorilor economici privați si organismelor
neguvernamentale cu care relaționeaza în spiritul dezvoltarii durabile, egalitații de sanse, securitații si sanatatii ocupaționale, prin
implementarea standardului ISO 9001/2015, precum si integrarea coroborata cu restul procedurilor din cadrul institutiei.
Obiectivele specifice ale proiectului
1. OS.1. Îmbunatatirea furnizarii serviciilor publice la nivelul Primariei Municipiului Lugoj prin implementarea Sistemului de Management al Calitatii;
2. OS.2. Dezvoltarea cunostintelor si abilitatilor profesionale grupului tinta prin participarea la cursuri;
3. OS.3. Cresterea transparentei actului public prin organizarea unor actiuni de diseminare a rezultatelor proiectului, cuprinzând si module de dezvoltare durabila si egalitate de sanse.</t>
  </si>
  <si>
    <t>Activitatile desfasurate, rezultatele si obiectivele proiectului conduc la îndeplinirea obiectivului general al acestuia, respectiv cresterea
nivelului de transparenta, etica si integritate în cadrul administratiei publice locale a Municipiului Timisoara, în conformitate cu obiectivul
specific 2.2 al POCA si obiectivul tematic 11, prioritatea de investitii 11i a Fondului Social European. 
Obiectivele specifice ale proiectului
1. Cresterea nivelului de cunoastere si asumare a legislatiei nationale si prevederilor europene în ceea ce priveste prevenirea si combaterea coruptiei si fenomenelor asociate.
2. Cresterea gradului de implicare a personalului administratiei publice locale si a cetatenilor în ceea ce priveste masurile adoptate la nivel national pentru combaterea coruptiei.
3. Aplicarea coerenta si sistematica a masurilor adoptate la nivel local, national si european în domeniul eticii si integritatii în sistemele publice.</t>
  </si>
  <si>
    <t>Cresterea capacitatii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Eficienta energetica pentru perioada 2021-2027</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</si>
  <si>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administratiei publice locale
Obiectivele specifice ale proiectului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Lugoj din domeniul de interes asistenta sociala
2. Cresterea nivelului de pregatire, cunostinte si abilitati ale personalului din cadrul Primariei atat in domenii specifice, cat si in
utilizarea si administrarea sistemelor informatice</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</si>
  <si>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administratia publica locala ce optimizeaza procesele orientate catre beneficiari în
concordanta cu SCAP" respectiv debirocratizarea si simplificarea pentru cetateni si consolidarea capacitatii administratiei publice de a
asigura calitatea si accesul la serviciile publice.
Obiectivele specifice ale proiectului
1. Analiza nivelului de participare publica a cetatenilor din Municipiul Timisoara si elaborarea strategiei de eficientizare a participarii
publice pentru o guvernare deschisa.
2. Debirocratizarea si simplificarea interactiunilor cetatenilor si operatorilor economici cu Primaria Municipiului Timisoara prin
crearea unui portal virtual de interactiune.
3. Cresterea performantei aparatului de specialitate al Primariei Municipiului Timisoara, prin formarea angajatilor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cetatenilor in relatia cu administratia locala).
4. Retrodigitalizarea arhivei Primariei Municipiului Timisoara, a cel putin 5000 unitati arhivistice (bibliorafturi).</t>
  </si>
  <si>
    <t>Obiectivul general/ Scopul Proiectului:
- Dezvoltarea unei platforme software de interoperabilitate pentru interactiunea digitala cu beneficiarii serviciilor/partenerii Consiliului
Judetean Timis având ca scop reducerea timpilor alocati proceselor specifice întreprinse cu acestia si oferirea unui mediu prietenos de
relationare
- Retrodigitizarea arhivelor din format letric în format digital
Obiectivele specifice ale proiectului
1. Dezvoltarea platformei digitale orientata catre beneficiarii externi ai institutiei
2. Retrodigitizarea a 180 ml de arhiva (aprox 900.000 pag)
Context</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</si>
  <si>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calitatii si performantei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</si>
  <si>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putin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anticoruptie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anticoruptie. Realizarea obiectivelor
specifice ale proiectului, va crea o administratie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coruptia, care sunt cauzele si efectele ei, cum se sanctioneaza.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</si>
  <si>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referinta care asigura un set de bune
practici recunoscute la nivel national si international.</t>
  </si>
  <si>
    <t>Consolidarea capacitatii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</si>
  <si>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Nufaru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</si>
  <si>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</si>
  <si>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</si>
  <si>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</si>
  <si>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</si>
  <si>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</si>
  <si>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</si>
  <si>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</si>
  <si>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Slava Cercheza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</si>
  <si>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5 persoane din cadrul grupului tinta instruite în domeniul planificarii strategice.</t>
  </si>
  <si>
    <t>Obiectivul general al proiectului consta în consolidarea capacitatii institutionale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</si>
  <si>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</si>
  <si>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</si>
  <si>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</si>
  <si>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Obiectivul general al proiectului consta în consolidarea capacitatii institutionale si eficientizarea activitatii la nivelul UAT Comuna Jurilovca,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Jurilovca, Jud. Tulcea pentru perioada 2023-2027
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Dezvoltarea cunostintelor si abilitatilor personalului din cadrul UAT Comuna Jurilovca,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</si>
  <si>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capacitattii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Pardina,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9 persoane din cadrul grupului tinta instruite în domeniul planificarii strategice</t>
  </si>
  <si>
    <t>Obiectivul general al proiectului consta în consolidarea capacitatii institutionale si eficientizarea activitatii la nivelul UAT Comuna
Mahmudia,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Mahmudia,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Mahmudia,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</si>
  <si>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</si>
  <si>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</si>
  <si>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proiectului este introducerea de sisteme si standarde comune în administratia publica locala ce optimizeaza procesele
orientate catre beneficiari. Se urmareste digitalizarea serviciilor publice prin accesul online la unele serviciile gestionate partajat/exclusiv
de autoritatile locale (implementarea unei solutii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eficientei serviciilor publice ale Primariei Municipiului Tulcea prin punerea
la dispozitie de servicii administrative si guvernare locala utilizând mijloace electronice, prin implementarea unor sisteme informatice
integrate cu functii de e-administratie si e-guvernare bazat cu elemente de geo spatialitate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birocratiei pentru cetateni la nivel local prin digitalizarea serviciilor oferite dar si a
proceselor interne ale Autoritatatii Publice cu ajutorul unui Sistem Informatic Integrat pentru activitatea Primariei Municipiului
Tulcea
3. Proceduri simplificate pentru reducerea birocratiei pentru cetateni la nivel local prin digitalizarea serviciilor oferite dar si a
proceselor interne ale Autoritatatii Publice cu ajutorul unui Sistem Informatic Integrat pentru activitatea Politiei Locale Tulcea
4. Mecanisme si proceduri standard implementate la nivel local - Planificarea strategica si financiara prin elaborarea de criterii de
prioritizarea a investitiilor în sectorul transportului urban prin elaborarea unui Studiu de Trafic
5. Mecanisme si proceduri standard implementate la nivel local - Planificarea strategica si financiara prin implementarea unei
Strategii de Smart City care sa raspunda nevoilor si exigentelor de finantare pentru perioada de programare a fondurilor europene
2021-2027
Context</t>
  </si>
  <si>
    <t>Consolidarea capacitatii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</si>
  <si>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relevanti pe domenii specifice de
competenta pentru sustinerea dezvoltarii la nivel local;
- Strategia de digitalizare;
- Planul Strategic Institutional (PSI) al Comunei Frecatei, pe termen mediu (2023-2027).
2. OS2. Implementarea si certificarea sistemului de management al calitatii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Frecatei, judetul Tulcea – 12 functionari publici, 25 angajati ca personal
contractual, 13 consilieri locali, în vederea întelegerii si comunicarii noilor servicii digitale implementate în administratia locala si a
strategiilor realizate.</t>
  </si>
  <si>
    <t>Scopul proiectului consta în optimizarea proceselor si cresterea eficientei serviciilor publice ale Primariei Orasului Isaccea, prin punerea la
dispozitie de servicii administrative si guvernare locala utilizând mijloace electronice prin implementarea unui sistem informatic integrat cu
functii de e-administratie si e-guvernare, elaborarea unei strategii de dezvoltare locala pentru orasul Isaccea, precum si implementarea si
certificarea unui sistem de management al calitatii - ISO 9001.
Obiectivele specifice ale proiectului
1. Mecanisme si proceduri standard implementate la nivel local - dezvoltarea unei Strategii de Dezvoltare Locala.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oferite dar si a
proceselor interne ale Autoritatatii Publice cu ajutorul unui Sistem Informatic Integrat
4. Dezvoltarea gradului de cunostinte si abilitati ale personalului din Primaria Orasului Isaccea, în vederea sprijinirii
masurilor/actiunilor vizate de proiect prin intermediul unor cursuri de formare pentru managementul calitatii dar si pentru
implementarea SDL</t>
  </si>
  <si>
    <t>Dezvoltarea unui sistem unitar si sustenabil de management al calitatii la nivelul Consiliului Judetean Vâlcea si al altor 12 institutii publice din subordinea sa, în scopul optimizarii proceselor orientate catre beneficiari, în concordanta cu SCAP.
Obiectivele specifice ale proiectului
1. Implementarea Sistemului de Management al Calitatii, conform SR EN ISO 9001:2015, la nivelul a 12 institutii publice din
subordinea Consiliului Judetean Vâlcea.
2. Certificarea Sistemului de Management al Calitatii, conform SR EN ISO 9001:2015, la nivelul Consiliului Judetean Vâlcea si al
altor 12 institutii subordonate.
3. Consolidarea sistemului de management al calitatii la nivelul Consiliului Judetean Vâlcea, prin implementarea instrumentului de autoevaluare CAF.
4. Îmbunatatirea cunostintelor si abilitatilor personalului, din cadrul Consiliul Judetean Vâlcea si institutiile publice subordonate, prin participarea la programe si evenimente de formare profesionala în domeniul managementului calitatii.
5. Asigurarea sustenabilitatii sistemelor de management implementate si/sau certificate în cadrul proiectului, prin formarea si certificarea unui numar de 15 de specialisti în domeniul calitatii si a 15 auditori în domeniul calitatii, din rândul personalului angajat în aceste institutii, cu atributii în domeniul managementului calitatii.</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</si>
  <si>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performantei personalului angajat si deservirea online a cetatenilor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birocratiei pentru cetateni la nivel local corelate cu planul integrat de simplificare a procedurilor administrative
pentru cetateni - prin implementarea sistemului informatic modernizat pentru cresterea performantei personalului angajat si
deservirea online a cetatenilor si mediului de afaceri.
3. OS3: Dezvoltarea abilitatilor personalului din cadrul Primariei Municipiului Dragasani si al institutiilor subordonate Primariei
Dragasani prin asigurarea formarii profesionale a 60 persoane din grupul tinta în domeniile managementului strategic, al
instrumentelor si procedurilor pentru fundamentarea decizie si al competentelor de comunicare.
</t>
  </si>
  <si>
    <t xml:space="preserve">Obiectivul general al proiectului consta consolidarea capacitatii institutionale si eficientizarea activitatii la nivelul Municipiului Râmnicu Vâlcea,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În acest sens sunt avute în vedere achizitia si implementarea unei platforme integrate pentru managementul fluxurilor de lucru si arhivarea electronica, respectiv a unei platforme integrate (portal web, aplicatie pentru dispozitive mobila) pentru servicii electronice complete (inclusiv plata electronica si semnatura electronica), a unui terminal interactiv de tip self-service pentru servicii electronice, si a unei solutii de raportare a indicatorilor aferenti serviciilor electronice.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t>
  </si>
  <si>
    <t>Obiectivul general consta in consolidarea capacitatii institutionale, eficientizarea activitatii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obtinerii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cetatenilor, atât din perspectiva back-office (adaptarea procedurilor interne de lucru,
digitalizarea arhivelor), cât si front-office.
Extinderea portalului actual de servicii electronice cu urmatoarele componente front-office: servicii electronice vizând
competentele partajate exercitate de institutie, solutie de portal extranet pentru colaborare inter-institutionala în domeniul
competentelor partajate, solutie de publicare a datelor deschise (open data) relativ la serviciile publice partajate. Implementarea unor solutii back-office care asigura functionalitatile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</si>
  <si>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facilitati de acces online la servicii publice, în concordanta cu Strategia pentru Consolidarea Administratiei Publice 2014 -2020.
Obiectivele specifice ale proiectului
1. Consolidarea capacitatii de planificare strategica si de fundamentare a deciziilor la nivelul Consiliului Judetean Vâlcea, prin
dezvoltarea de mecanisme de participare publica si îmbunatatirea cunostintelor si abilitatilor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birocratiei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</si>
  <si>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îmbunatatirea competentelor functionarilor, pentru cresterea performantei personalului angajat si deservire a cetatenilor, în
ceea ce priveste urmatoarele competente partajate: ordine si siguranta publica, serviciul public comunitar pentru evidenta persoanelor si învatamântul preuniversitar de stat.
Obiectivele specifice ale proiectului
1. Obiectiv specific 1: Reducerea birocratiei pentru cetateni la nivel local corelate cu planul integrat de simplificare a procedurilor administrative pentru cetateni - prin implementarea sistemului informatic modernizat pentru cooperarea informationala cu institutiile subordonate, pentru cresterea performantei personalului angajat si deservirea online a cetatenilor si a mediului de afaceri, prin implementarea de masuri de eficientizare a proceselor de lucru specifice domeniului.
Pentru realizarea obiectivului specific 1 se are in vedere activitatea A3.2. Modernizarea sistemului informatic existent pentru
cooperarea informationala cu institutiile subordonate. Rezultatul 1 contribuie la atingerea acestui obiectiv.
2. Obiectiv specific 2: Dezvoltarea cunostintelor, competentelor si abilitatilor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solutiilor informatice implementate. Pentru realizarea obiectivului specific 2 se are in vedere activitatea A3.2. Modernizarea sistemului informatic existent pentru cooperarea informationala cu institutiile subordonate (Instruirea utilizatorilor si administratorilor solutiilor informatice implementate). Rezultatul 2 contribuie la atingerea acestuia.
3. Obiectiv specific 3: Dezvoltarea abilitatilor personalului din cadrul Primariei Municipiului Dragasani si al institutiilor subordonate Primariei Dragasani, prin asigurarea formarii profesionale a 40 persoane din grupul tinta în competentelor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</si>
  <si>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Obiectivul general al proiectului îl constituie cresterea transparentei, eticii si integritatii la nivelul Municipiului Râmnicu Vâlcea, prin
implementarea unor masuri de prevenire a corupttiei, cresterea nivelului de educatie anticoruptie a personalului si a cetatenilor, precum si prin aplicarea normelor, masurilor si procedurilor în materie de etica, integritate si anticoruptie reglementate la nivelul institutiilor publice.
Obiectivele specifice ale proiectului
1. O.S..1 Implementarea masurilor prevazute de Strategia Nationala Anticoruptie 2016 - 2020, respectiv elaborarea documentattiei
specifice metodologiei de identificare a riscurilor si vulnerabilitatilor la coruptie,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</si>
  <si>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Cresterea nivelului de performanta la nivelul UAT Municipiul Dragasani, prin implementarea unui sistem de management structurat pe
baza cerintelor standardului international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</si>
  <si>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OG Dezvoltarea capacitatii de formulare a politicilor publice de catre Consiliul Judetean Vaslui pentru dezvoltarea economica si sociala a judetului, prin implementarea unui proces participativ de planificare strategica.OS 1. Cresterea capacitatii de fundamentare a deciziilor referitoare la dezvoltarea economico-sociala a judetului Vaslui prin
elaborarea participativa si adoptarea unei strategii de dezvoltare durabila pentru perioada 2021-2027.
2. OS2. Cresterea competentelor a minim 50 de persoane cheie, de la nivelul aparatului de specialitate al institutiei Consiliului Judetean Vaslui, pentru elaborarea si implementarea politicilor publice locale pâna la finalizarea proiectului.</t>
  </si>
  <si>
    <t xml:space="preserve">Obiectivul general al proiectului: Consolidarea capacitatii institutionale a Primariei Municipiului Vaslui prin implementarea de masuri de simplificare administrativa si optimizare a furnizarii serviciilor catre cetateni.
Obiectivele specifice ale proiectului
1. Optimizarea activitatilor interne ale functionarilor, prin implementarea unei platforme integrate de management al activitatilor si al înregistrarilor, inclusiv prin digitalizarea si gestiunea electronica a arhivei primariei Vaslui
2. Implementarea unei platforme de tip portal pentru servicii care sa fie furnizate online catre cetateni
3. Îmbunatatirea abilitatilor si cunostintelor personalului municipiului Vaslui pentru utilizarea sistemelor informatice dezvoltate prin proiect si pentru gestionarea documentelor electronice
</t>
  </si>
  <si>
    <t>Obiectivul general al proiectului/Scopul proiectului
Obiective proiect
Întocmirea documentatiilor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</si>
  <si>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Obiectivul general al proiectului consta in consolidarea capacitatii institutionale si eficientizarea activitatii la nivelul Municipiului Husi, prin
simplificarea procedurilor administrative si reducerea birocratiei pentru cetateni, implementând noi masuri din perspectiva back-office
(adaptarea procedurilor interne de lucru) si front-office pentru serviciile publice aferente competentelor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achizitia si implementarea de noi solutii integrate pentru oferirea de servicii electronice - atat solutii
front-office (servicii electronice furnizate direct cetatenilor), cât si back-office (solutii care faciliteaza exercitarea competentelor
partajate vizate de prezentul proiect). Solutiile integrate pentru servicii electronice se vor baza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Municipiului Husi, in vederea sprijinirii masurilor vizate de
proiect. Este avuta in vedere formarea/instruirea, evaluarea/testarea si certificarea competentelor/cunostintelor dobândite pentru
78 de persoane, din cadrul grupului tinta, in ceea ce priveste utilizarea solutiilor informatice implementate in cadrul proiectului.</t>
  </si>
  <si>
    <t>Obiectivul general al proiectului vizeaza consolidarea capacitatii institutionale si eficientizarea activitatii la nivelul Consiliului Judetean
Vaslui în ceea ce priveste exercitarea atributiilor prevazute de OUG 57/2019 privind Codul Administrativ si competentele exclusive, prin
implementarea de masuri pentru imbunatattirea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</si>
  <si>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a Primariei Municipiului Vaslui prin implementarea unor
solutii de simplificare a procedurilor administrative si de reducere a birocratiei pentru cetateni pentru accesul la servicii electronice
partajate.
Obiectivele specifice ale proiectului
1. Cresterea accesibilitatii, reducerea timpului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a interactiunii front-office: implementarea în cadrul portalului web a unor
servicii electronice, ca alternativa la modalitatea traditionala de solicitare/furnizare a serviciilor publice.
2. Optimizarea comunicarii interne,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
3. Îmbunatatirea abilitatilor si cunostintelor personalului municipiului Vaslui pentru utilizarea sistemelor informatice implementate prin
proiect si pentru gestionarea fluxurilor electronice de activitati si documente.</t>
  </si>
  <si>
    <t>Consolidarea capacitatii institutionale a Primariei Municipiului Focsani prin introducerea de instrumente de planificare strategica, sisteme si standarde de management al calitatii si performantei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activitatilor interne ale functionarilor, prin implementarea unei platforme integrate de management al activitatilor si al înregistrarilor, inclusiv prin digitalizarea si gestiunea electronica a arhivei primariei Focsani, precum si implementarea unei platforme de tip portal pentru servicii care sa fie furnizate online catre cetațeni
5. Îmbunatațirea abilitaților si cunostintelor personalului municipiului Focsani în domeniul managementului strategic, al
managementului calitații/performanței, pentru utilizarea sistemelor informatice dezvoltate prin proiect si pentru gestionarea
documentelor electronice</t>
  </si>
  <si>
    <t>Obiectivul general al proiectului este reprezentat de dezvoltarea unui plan strategic coerent, conceput sa asigure o viziune sustenabila de
dezvoltare a mobilitatii urbane durabile în Municipiul Focsani, prin elaborarea Planului de Mobilitate Urbana Durabila, astfel încât acestea
sa raspunda nevoilor si exigențelor de finantare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finantare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</si>
  <si>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Dezvoltarea si consolidarea capacitatii administrative a Municipiului Focsani prin eficientizarea activitatilor de prevenire si combatere a
corupției în administratia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coruptiei la nivelul personalului din administrația publica locala cât si în
rândul cetațenilor.
3. Îmbunatațirea cunostintelor si a competențelor personalului si alesilor locali în ceea ce priveste masurile anticoruptie.</t>
  </si>
  <si>
    <t>Imbunatatirea implementarii masurilor de prevenire a coruptiei, cresterea eticii si a integritatii in UAT Municipiul Adjud, judetul Vrancea,
regiunea mai putin dezvoltata Sud-Est, prin realizarea de mecanisme si proceduri anticoruptie,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perceptia în rândul cetatenilor si al
personalului din cadrul administratiei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transparentei, eticii si integritatii.</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</si>
  <si>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calitatii si performantei CAF (Cadrul comun de autoevaluare a
modului de functionare a institutiilor publice) la nivelul UAT Judetul Vrancea pentru sustinerea schimbarii in vederea obtinerii de
performanta, de îmbunatatire a modului de realizare a activitatilor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</si>
  <si>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cunostintelor si abilitatilor profesionale pentru 50 de persoane din GT pentru operarea si administrarea SIASS.
Formarea celor 50 de persoane va cuprinde un modul de dezvoltare durabila, egalitate de sanse, nediscriminare si egalitate de
gen.</t>
  </si>
  <si>
    <t>Obiectivul proiectului vizeaza consolidarea capacitatii institutionale si eficientizarea activitatii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ceilaltti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calitatii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</si>
  <si>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calitatii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</si>
  <si>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transparente si integritati sporite la nivelul sistemului judiciar în vederea îmbunatatirii accesului si a calitatii serviciilor furnizate la nivelul
acestuia, corespunzator Axei prioritare 2: Administratie publica si sistem judiciar accesibile si transparente.
Obiectivele specifice ale proiectului
1. OS1. Cresterea accesului la justitie a 200 de cetateni din mediul rural care au nevoie de informare, educare si consiliere in
domeniul accesului la servicii oferite de sistemul juridic, prin derularea unei campanii de informare/educatie juridica, prin utilizarea
unor metode inovative si cu ajutorul tehnologiei, in cadrul caravanei “Justitie pentru sate”.
2. OS2. Accelerarea dezvoltarii si diversificarii paletei de servicii de informare, educare si consiliere juridica adecvate nevoilor
cetateanului, prin cooperare cu autoritati ale administratiei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solutionare a litigiilor prin crearea si
dezvoltarea unui “Portalului interactiv de metode alternative de solutionare a litigiilor pentru mediul rural”, pentru promovarea si
consolidarea cu ajutorul tehnologiei a metodelor alternative de solutionare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</si>
  <si>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informatiilor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solutionare a litigiilor. Acest obiectiv urmeaza a fi implementat prin Activitatea A4.
4. 2. Transpunerea intr-un limbaj uzual a informatiilor juridice de maxim interes pentruy cetatenii din mediul rural. Acest obiectiv
urmeaza a fi implementat prin Activitatea A3</t>
  </si>
  <si>
    <t>Obiectivul general al proiectului este acela de a consolida capacitatea Federatiei Zonelor Metropolitane si Aglomerarilor Urbane din
Romania de a se implica in formularea si promovarea dezvoltarii la nivel local de tip urban si metropolitan la nivelul a cinci municipii
resedinta de judet din Romania.
Obiectivele specifice ale proiectului
1. Instruirea unui grup format din 28 de persoane în domeniul planificarii strategice si managementului de proiect, care va contribui
la introducerea de sisteme si standarde comune în administratia publica locala ce optimizeaza procesele orientate catre
beneficiari în concordanta cu SCAP, prin pregatirea persoanelor cu responsabilitati în domeniu, pentru dezvoltarea competentelor
specifice dezvoltarii de tip metropolitan.
2. Elaborarea unui GHID privind dezvoltarea de tip metropolitan, axat pe principalele dimensiuni ale acesteia (planificare teritoriala,
transport public, incluziune sociala, dezvoltare economica).
3. Organizarea a 4 ateliere digitale privind dezvoltarea metropolitana.</t>
  </si>
  <si>
    <t>Obiectivul general este cresterea capacitatii organizatiilor non-guvernamentale si partenerilor sociali din municipiul Iasi de a se implica in
formularea, dezvoltarea si implementarea conceptului de smart health ca prioritate verticala a politicii locale de smart city
Obiectivele specifice ale proiectului
1. Obiectivul specific 1 - Dezvoltarea unui mecanism colaborativ si participativ de lucru in domeniul politicilor publice locale de smart
health intre autoritatea publica locala, reprezentanti ai organizatiilor neguvernamentale/parteneri sociali din municipiul Iasi, PDL
IASI SMART HEALTH CITY, pana in anul 2022
2. Obiectivul specific 2 - Imbunatatirea nivelului de informare pentru 50 de reprezentanti ai organizatiilor neguvernamentale, ai
partenerilor sociali si institutiilor publice locale din municipiul Iasi cu privire la instrumentele, aplicatiile si beneficiile domeniului
smart health, in contextul strategiilor si proiectelor locale, pana in anul 2022
3. Obiectivul specific 3 - Cresterea gradului de implicare a comunitatii locale in identificarea de propuneri in domeniul smart health,
prin colectarea a cel putin 15 propuneri de initiative, pana in anul 2022</t>
  </si>
  <si>
    <t>Obiectivul general al proiectului ACTIV-D este dezvoltarea unor standarde comune pentru administratiile publice din teritoriul metropolitan
Brasov referitoare la analiza, evaluarea si luarea deciziilor asociate politicilor publice de mobilitate durabila în vederea asigurarii unei
implementari unitare si coerente a politicilor si proiectelor de mobilitate urbana.                                                                                                                                             Scopul proiectului este dezvoltarea si consolidarea capacitatii AMDDTPBv de a-si asuma rolul de facilitare a dialogului dintre autoritatile
publice si comunitatea locala în sectorul mobilitatii urbane durabile.                                                                                                                                                                           Obiectivele specifice ale proiectului
1. OS1 - Dezvoltarea abilitatilor si competentelor transversale cu caracter inovativ care pot facilita / optimiza dialogul între actorii
relevanti în domeniul mobilitatii cu efecte directe asupra nivelului de implicare în elaborarea, implementarea, monitorizarea si
evaluarea politicilor publice la nivel local.                                                                                                                                                                     2. OS2 - Elaborarea unui set de standarde de analiza, evaluare si luare a deciziei în domeniul mobilitatii urbane durabile pe baza de
date si input-uri relevante, într-o maniera colaborativa- participativa.</t>
  </si>
  <si>
    <t>Proiectul îsi propune evaluarea si consolidarea capacitatii de dezvoltare a ecosistemului de bioeconomie inteligenta în judetul Covasna
pentru o dezvoltare sustenabila prin implicarea comunitatilor locale, actorilor economici si a administratiei publice locale.
Obiectivele specifice ale proiectului
1. Promovarea dezvoltarii la nivel local prin cresterea implicarii partenerilor sociali în procesele de elaborare si implementare a
strategiilor nationale/regionale în domeniul bioeconomiei.
2. Stabilirea în comun a unor proceduri de derulare a mecanismelor de consultare a autoritatilor si institutiilor publice cu ONG-urile,
partenerii sociali precum si a cetatenilor în elaborarea politicilor la nivel local cu impact asupra dezvoltarii bioeconomiei
inteligente.
3. Cresterea gradului de cunoastere si constientizare a importantei domeniului bioeconomiei prin activitati de formare profesionala
pentru membrii societatii civile si parteneri sociali si prin organizarea unei campanii de informare la nivel judetean</t>
  </si>
  <si>
    <t>Cresterea implicarii asociatiei ASTRICO Nord-Est în elaborarea si promovarea unui cadru de dezvoltare al economiei locale în vederea
facilitarii unei tranzitii rapide si eficiente catre o economie competitiva bazata pe inovare sociala si grad ridicat de pregatire al fortei de
munca
Obiectivele specifice ale proiectului
1. Determinarea situatiei actuale legate de competitivitatea la nivel local prin elaborarea unei analize diagnostic
2. Crearea unui mecanism institutionalizat de colaborare la nivel local între mediul de afaceri, autoritati publice locale si societatea
civila pentru armonizarea politicilor, strategiilor si actiunilor în domeniul formarii profesionale cu cerintele specifice pietei muncii
în orasul Piatra Neamt.
3. Cresterea capacitatii Asociatiei ASTRICO Nord-Est prin obtinerea de competente în domeniile planificarii strategice, politicilor
publice si comunicarii organizationale în vederea unei mai bune implicari în politicile de dezvoltare locala</t>
  </si>
  <si>
    <t>Consolidarea capacitatii ONG-urilor si partenerilor sociali de a se implica în formularea si promovarea dezvoltarii la nivel local, prin
introducerea de sisteme si standarde comune în administratia publica locala ce optimizeaza procesele orientate catre beneficiari în
concordanta cu SCAP.
Obiectivele specifice ale proiectului
1. OS1 - Cresterea gradului de implicare civica a cetatenilor din Orasul Miercurea Sibiului in procesul de elaborarea, monitorizarea
si evaluarea politicilor si strategiilor adoptate la nivel local
2. OS2 - Dezvoltarea capacitatii de participare publica in randul ONG-urilor si partenerilor sociali din Orasul Miercurea Sibiului, prin
dezvoltarea a min 7 parteneriate între ONG-uri/parteneri sociali si autoritati locale, functionale cel putin 6 luni dupa finalizarea
proiectului
3. OS3 - Cresterea gradului de colaborare intre ONG-uri, parteneri sociali si personalul autoritatilor publice din Orasul Miercurea
Sibiului, prin implementarea unui mecanism de consultare a autoritatilor si institutiilor publice cu ONG-urile, partenerii sociali si
implicarea cetatenilor în elaborarea, monitorizarea si evaluarea politicilor si strategiilor adoptate la nivel local</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</si>
  <si>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Obiectivele specifice ale proiectului
1. OS 1. Cresterea gradului de monitorizare si evaluare a proceselor decizionale, prin elaborarea unei metodologii si a unui raport
de evaluare a politicilor publice care cuprinde si un set de indicatori de monitorizare a acestora, in cadrul administratiei publice
locale.
2. OS 2. Imbunatatirea, stimularea si consolidarea dialogului social si a interactiunii intre ong-uri/actori sociali relevanti si autoritatile
publice, prin organizarea unui numar de 3 workshopuri, in vederea cresterii implicarii acestora in formularea si imbunatatirea
politicilor publice in domeniul administratiei publice locale.
3.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4.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5. OS 5. Sporirea vizibilitatii si promovarea instrumentelor de monitorizare si evaluare independenta a politicilor si strategiilor la nivel
local.
6.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</si>
  <si>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“O sansa pentru fiecare” consta în cresterea capacitatii organizationale a SNCRR Filiala Arad de a se
implica în formularea unui standard comun de pregatire si interventie la nivelul comunitatii si totodata dezvoltarea la nivel local a unei
retele de voluntari in Municipiul Arad, ce vin in sprijinul comunitatii in situatie de criza. Prin activitatile propuse, SNCRR Filiala Arad isi va
extinde aria de interventie si va multiplica activitatile cu impact pozitiv in comunitate, precum si initiative care îsi propun cresterea implicarii cetatenilor în comunitate si în procesul de luare a deciziilor.
Scopul proiectului vizeaza un instrument eficient si sustensabil la nivelul comunitatii tinand cont de faptul ca „Voluntariatul ajuta oamenii sa
fie mai activi în rolul lor de membri ai societatii si sa se preocupe de calitatea vietii comunitatii. Implicarea civica duce la cresterea
sentimentelor de apartenenta si solidaritate, dar si la cresterea gradului de implicare a autoritatilor publice locale sau centrale în sustinerea si dezvoltarea comunitatilor.” (extrase din Ghidul privind optimizarea parteneriatului dintre autoritatile publice si mediul asociativ pentru voluntariat „Promotorii Voluntariatului în România”, Program aflat sub patronajul Guvernului României prin Secretariatul General al Guvernului).
Obiectivele specifice ale proiectului
1. OS1. Cresterea capacitatii organizationale a SNCRR Filiala Arad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Municipiul Arad prin incheierea a minim 50 de contracte de voluntariat;
6. OS6. Cresterea gradului de constientizare privind egalitatea de sanse si nediscriminarea in in comunitate precum si a protectiei
mediului prin promovarea obiectivelor de dezvoltare durabila</t>
  </si>
  <si>
    <t>Consolidarea capacitatii organizatiilor non-guvernamentale si cetatenilor din Comuna Aricestii Rahtivani, Judetul Prahova, de a se implica
în formularea si promovarea dezvoltarii la nivel local.
Obiectivele specifice ale proiectului
1. Cresterea capacitatii Asociatiei Centrul de Resurse Apollo in vederea atragerii si formarii in dezvoltare comunitara a minim 12
tineri voluntari din Comuna Aricestii Rahtivani, pe perioada proiectului si a minim 6 luni de la finalizarea acestuia
2. Cresterea gradului de participare publica in randul a 100 cetateni din Comuna Aricestii Rahtivani, pe perioada proiectului si a
minim 6 luni de la finalizarea acestuia
3. Cresterea gradului de informare in dezvoltare comunitara si participare publica pentru minim 100 cetateni/membri ONG din
Comuna Aricestii Rahtivani pe perioada proiectului si a minim 6 luni de la finalizarea acestuia</t>
  </si>
  <si>
    <t>Obiectivul general al proiectului este de a consolida capacitatea organizatiilor non-guvernamentale de si pentru tineret de a se implica în
formularea si promovarea dezvoltarii la nivel local în domeniul tineretului (adresata tinerilor) la nivelul judetului Hunedoara si Sibiu.
Obiectivele specifice ale proiectului
1. Dezvoltarea a cel putin 20 parteneriate pentru dezvoltare locala în domeniul tineretului între UAT-uri si ONG-uri la nivelul judetului
Hunedoara si Sibiu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si a unei cercetari calitative de identificare a cooperarilor dintre ONGurilor
de/pentru tineret si autoritatile publice la nivelul judetului Sibiu si Hunedoara.
5. Promovarea cooperarii între autoritatile publice si ONG-urile de/pentru tineret la nivelul judetului Timis, prin dezvoltarea unui ghid
de bune practici care s-au desfasurat/se desfasoara la nivelul judetului Hunedoara si Sibiu</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</si>
  <si>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OS 1. Cresterea gradului de monitorizare si evaluare a proceselor decizionale, prin elaborarea unei metodologii si a unui raport
de evaluare a politicilor publice care cuprinde si un set de indicatori de monitorizare a acestora, in cadrul administratiei publice
locale.
OS 2. Imbunatatirea, stimularea si consolidarea dialogului social si a interactiunii intre ong-uri/actori sociali relevanti si autoritatile
publice , prin organizarea unui numar de 3 workshopuri , in vederea cresterii implicarii acestora in formularea si imbunatatirea
politicilor publice in domeniul administratiei publice locale.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OS 5. Sporirea vizibilitatii si promovarea instrumentelor de monitorizare si evaluare independenta a politicilor si strategiilor la
nivel local.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</si>
  <si>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este consolidarea capacitatii ASOCIA?IEI INEDITRAVEL de a se implica în formularea si promovarea
dezvoltarii la nivel local în comuna Vladesti, prin actiuni de consolidare a capacitatii interne, prin îmbunatatirea capacitatii de a-si extinde
aria de interventie si de a multiplica activitatile cu impact pozitiv, precum si prin initiative care îsi propun cresterea implicarii cetatenilor în
comunitate si în procesul de luare a deciziilor la nivel local.
Obiectivele specifice ale proiectului
1. Dezvoltarea proceselor partcipative la nivelul comunei Vladesti pornind de la nevoile comunitatii locale
2. Dezvoltarea unui instrument sub forma unei platforme online, pentru sustinerea si promovarea dezvoltarii la nivel local si de
interactiune cu autoritatile si institutiile administratiei publice
3. Implementarea unui mecanism de consultare a autoritatilor si institutiilor publice cu ONG-urile si cetatenii în vederea selectarii
prioritatilor de dezvoltare la nivel local
4. Crearea unui mecanism online independent de monitorizare a implementarii Strategiei de dezvoltare locala a comunei Vladesti
5. Promovarea unor actiuni de consolidare a dialogului social si civic sub forma întâlnirilor cetatenesti si a platformei online
6. Aplicarea lectiilor invatate din exemplele de buna practica identificate pe parcursul vizitei de studiu
7. Sustinerea unor activitati întreprinse în comun, a participari la retele tematice europene referitoare la promovarea unei cetatenii
active
8. Dezvoltarea capacitatii interne a Asociatiei INEDITRAVELsi a capacitatii locale prin instruiri in ceea ce priveste mecanismele
participarii cetatenesti, metode si instrumente moderne de implicare cetateneasca in procesul de luare a deciziilor, precum si
aspecte legislative in domeniu</t>
  </si>
  <si>
    <t>Consolidarea capacitatii ONG-urilor si partenerilor sociali din Ploiesti de a evalua nevoile femeilor însarcinate si familiilor din care fac
parte, precum si a tinerelor si tinerilor care devin parinti în adolescenta (pâna la vârsta de 18 ani) în contextul pandemiei/ post-pandemic.
În acord cu scopul cererii de propuneri de proiecte, proiectul dezvolta mecanisme de monitorizare, evaluare, consultare, dialog social si
responsabilizare pe teme ca: depistarea precoce a sarcinii, monitorizarea sarcinii, îngrijirile pre si post natale, preventia nasterilor
premature, nasterea în siguranta, monitorizarea sarcinilor la risc ca urmare a infectiei SARS-COV-2 si a altor probleme de sanatate sau
socio-economice, vaccinarea în contextul pandemic, alaptarea si îngrijirea nou-nascutului etc. Proiectul raspunde scopului propus prin
ghidul solicitantilor întrucât dezvolta mecanisme de consulare cu cetatenii si cu organizatiile neguvernamentale si formuleaza un raport de
politici publice în domeniul sanatatii materne.
Obiectivele specifice ale proiectului
1. Dezvoltarea si implementarea, în urmatorul an, a doua instrumente de consultare publica în domeniul sanatatii materne prin
intermediul carora 100 de persoane sa participe în procesul de fundamentare si luare a deciziilor de politica publica
2. Dezvoltarea capacitatii de colaborare inter-institutionala prin formarea, în urmatorul an, a 15 persoane în domeniul participarii
publice pentru sanatatea materna</t>
  </si>
  <si>
    <t>Obiectivul general al proiectului este consolidarea capacitatii organizatiilor non-guvermanetale si a partenerilor sociali de a se implica în
formularea si promovarea la nivel local printr-un program integrat de crestere a nivelului de cunoastere cu privire la reducerea risipei
alimentare, prin 6 parteneriate de dezvoltare locala pentru 300 persoane în judetul Olt si o platforma online educationala, în termen de 14
luni
Obiectivele specifice ale proiectului
1. O1. Dezvoltarea a trei instrumente care sa sprijine administratia publica locala în elaborarea si implementarea de politici publice
în domeniul compostului si al combaterii risipei alimentare prin realizarea si diseminarea lui 1 ghid privind indicatorii de realizare
a legii compostului si reducerii risipei alimentare,1 ghid privind dezvoltarea durabila pentru operatorii economici din domeniul
turismului si 1 ghid privind dezvoltarea durabila pentru pentru populatia comunitatii, pana in noiembrie 2022.
2. O2. Realizarea unei campanii integrate de dezvoltare a capacitatii prin parteneriat cu doua componente: formularea si
promovarea dezvoltarii la nivel local prin dezvoltarea de mecanisme, procedure, instrumente de consolidare a dialogului social si
civic, organizand o 1 masa rotunda pe tema legii compostului si 1 expozitie tehnologica, ale caror rezultate se vor integra in
documentele de la O1 si 12 sesiuni de informare la nivelul populatiei comunitatii locale ai fiecarui partener de dezvoltare locala
(230 persoane), pe o perioada de 6 luni
3. O3. Cresterea capacitatii FPIMM si AST de a se implica in formularea si promovarea dezvoltarii la nivel local prin realizarea unor
programe pentru personalul propriu de formare/instruire de 5 zile finalizate cu certificate in protectia mediului pentru 14 persoane.
4. O4: Cresterea capacitatii FPIMM si AST de a se implica in formularea si promovarea dezvoltarii la nivel local prin realizarea unor
programe de formare de 5 zile implementate in parteneriat cu autoritati publice pentru 84 participanti certificati in protectia
mediului (alesi locali, personal din autoritatile si institutiile publice si cetateni)
5. O5: Implicarea in formularea si promovarea dezvoltarii la nivel local prin implementarea in partenereriat de initiative de
dezvoltare a responsabilitatii civice, de implicare a comunitatilor locale in viata publica si de participare la procesele decizionale,
de promovare a egalitati de sanse si nediscriminarii, privind a dezvoltarea durabila in mediul online prin implementarea si
diseminarea unei platforme (website) educationala pe tema reducerii risipei alimentare, in termen de 7 luni.</t>
  </si>
  <si>
    <t xml:space="preserve">Strategiei de Dezvoltare Locala a Municipiului Moreni 2021 – 2028.
Obiectivele specifice ale proiectului
1. Cresterea capacitatii ONG-urilor de a se implica în formularea si promovarea dezvoltarii la nivel local.
2. Imbunatatirea colaborarii dintre administratia publica locala si ONGuri în vederea implementarii si monitorizarii strategiei de
dezvoltare locala a municipiului Moreni 2021 - 2028
3. Îmbunatatirea comunicarii si transparentei decizionale si a participarii la luarea deciziilor în municipiul Moreni si zonele adiacente
</t>
  </si>
  <si>
    <t>Consolidarea capacitatii CCINA Constanta si a partenerilor sociali de a se implica în promovarea si implementarea unor activitati pentru
dezvoltarea locala a UAT Tuzla prin valorificarea oportunitatilor existente la nivel local în domeniul turismului, agriculturii si a
interculturalitatii.                                                                                                                                                                                                                                                                                                     OS 1: Dezvoltarea unui mecanism de sustinere si promovare a dezvoltarii locale a UAT Tuzla prin crearea si consolidarea unei
platforme de E-dezvoltare focalizata pe valorificarea oportunitatilor locale din domeniul turismului, al agriculturii si al
interculturalitatii
OS2: Dezvoltarea capacitatii CCINA Constanta de a dialoga si interactiona cu autoritatile si institutiile administratiei publice în
perspectiva dezvoltarii de proceduri si mecanisme pentru pentru sustinerea si promovarea dezvoltarii locale a UAT Tuzla
OS 3: Dezvoltarea unei proceduri de asigurare a sustenabilitatii activitatilor, de masurare a impactului acestora în rândul
cetatenilor UAT Tuzla si cresterea gradului de interactiune a acestora cu institutiile si autoritatile administratiei locale.</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</si>
  <si>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1. OS1. Dezvoltarea de proceduri, mecanisme pentru sustinerea si promovarea dezvoltarii la nivel local si de interactiune cu
autoritatile si institutiile administratiei publice axate pe promovarea exporturilor si atragerea de investitii în cadrul IMM-urilor.                             2. OS2. Sustinerea capacitatii CNIPMMR si a altor parteneri sociali de a se implica în formularea si promovarea dezvoltarii la nivel
local in domeniul promovarea exporturilor si atragerea de investitii prin derularea unor activitati de formare specifice acestui
domeniu.</t>
  </si>
  <si>
    <t>Cresterea participarii civice si consilidarea capacitatii organizatiilor neguvernamentale de a contribui la dezvoltarea durabila a judetului
Mehedinti atât în faza de fundamentare si elaborare a politicilor si prioritatilor, cât si în faza de implementare, monitorizare si evaluare a
acestora. Proiectul raspunde scopului apelului de propuneri de proiecte întrucât vizeaza consolidarea capacitatilor ONGurile partenere si a
celorlalti actori neguvernamentali ce vor fi implicati în activitati de a participa la formularea si promovarea unor prioritati de dezvoltare
durabila a judetului Mehedinti în acord cu cele 17 obiective de dezvoltare durabila a României. Consolidarea capacitatii se realizeaza prin
multiplicarea initiativelor si implicarea cetatenilor în procesul decizional. Proiectul raspunde si obiectivului specific 2.1. al POCA pentru ca
dezvolta mecanise de monitorizare, implicare/consultare si formare continua.
Obiectivele specifice ale proiectului
1. Dezvoltarea si implementarea a trei de instrumente de responsabilizare (grup civic, rapoarte, platforma) în cadrul relatiei de
cooperare dintre autoritatile administratiei publice locale din judetul Mehedinti si organizatiile neguvernamentale/cetateni în
urmatoarele 14 luni.
2. Implicarea a 300 de cetateni în procesul de stabilire a prioritatilor pentru dezvoltarea durabila la judetului Mehedinti în urmatoarele
14 luni.
3. Dezvoltarea cunostintelor în domeniul dezvoltarii durabile a 50 de persoane în urmatoarele 14 luni</t>
  </si>
  <si>
    <t>Obiectivul general al proiectului “Fii implicat in Colonesti!” consta în cresterea capacitatii organizationale a SNCRR Filiala Bacau de a se
implica în formularea unui standard comun la nivelul comunitatii si totodata dezvoltarea la nivel local a unei retele de voluntari in Comuna
Colonesti, ce vin in sprijinul comunitatii in situatie de criza. Prin activitatile propuse, SNCRR Filiala Bacau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Bacau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Comuna Colonesti prin incheierea a minim 45 de contracte de voluntariat;
6. OS6. Cresterea gradului de constientizare privind egalitatea de sanse si nediscriminarea in in comunitate precum si a protectiei
mediului prin promovarea obiectivelor de dezvoltare durabila</t>
  </si>
  <si>
    <t xml:space="preserve">Obiectivul proiectului consta în sustinerea Asociatiei de a-si îmbunatati capacitatea de a se implica activ în promovarea dezvoltarii unitare
la nivel local a zonei periurbane Sibiu, zona din care fac parte Comunele Selimbar, Sura Mare, Sura Mica si Rosia prin dezvoltarea unor
instrumente digitale care sa faciliteze implicarea si cooperarea cetatenilor, a agentilor economici, a producatorilor locali, a autoritatilor
locale în dezvoltarea comunitatii si sa asigure transparenta informatiilor de interes public.                                                                                                                      OS1: Implicare activa în promovarea dezvoltarii unitare la nivel local a zonei periurbane Sibiu prin dezvoltarea unui instrument
digital sub forma unei platforme/portal www.zonametropolitana.ro cu diferite functionalitati, la nivel de asociatie, care sa cuprinda
elemente/module ce faciliteaza interactiunea dintre cetateni, alti actori locali si autoritatile publice si care contribuie la cresterea
implicarii acestora in comunitate, în procesul de luare al deciziilor si consolidarea parteneriatului pentru dezvoltare locala - PDL
între cele 4 autoritati locale si Asociatia de Dezvoltare Intercomunitara Zona Metropolitana Sibiu.                                                                                                   OS2: Instruirea unui numar de 6 persoane din cadrul ONG-ului si voluntarii cu care lucreaza, pentru consolidarea capacitatii
interne a Asociatiei Metropolitane Sibiu si instruirea a 4 persoane din cele 4 autoritari locale din cadrul PDL în tematici de
implicare în viata publica locala, precum: animatori comunitari, bugetare participativa, responsabilitate sociala si civica,
instrumente de consolidare a dialogului social si civic, etc                                                                   </t>
  </si>
  <si>
    <t>Consolidarea capacitatii Asociatiei Aladin Deva de a se implica în formularea politicilor locale privind prevenirea parasirii timpurii a scolii, în special în rândul grupurilor dezavantajate de populatie, prin constituirea mai multor parteneriate locale cu autoritati publice de la nivelul
judetului Hunedoara si prin îmbunatatirea capacitatii de interventie a asociatiei, prin formarea/ certificarea membrilor acesteia.
Obiectivele specifice ale proiectului
1. Constituirea a minim patru parteneriate între Asociatia Aladin Deva si autoritati publice locale din judetul Hunedoara, valabile
minim 6 luni dupa încheierea proiectului, în cadrul carora va fi elaborata o strategie locala de prevenire a parasirii timpurii a scolii,
precum si instrumente/ mecanisme specifice de monitorizare si evaluare a acesteia pe termen lung, la nivelul judetului
Hunedoara.
2. Îmbunatatirea capacitatii de interventie a membrilor Asociatiei Aladin Deva, prin participarea unui numar de 15 persoane la cursuri
de formare specifice, finalizate cu certificarea cunostintelor/ competentelor dobândite de acestia pe parcursul activitatilor de
instruire.</t>
  </si>
  <si>
    <t>Obiectivul general al proiectului “Scoala pentru viitor” consta in cresterea capacitatii organizationale a SNCRR Filiala Caras Severin de a
se implica în formularea si promovarea dezvoltarii la nivel local prin dezvoltarea retelei de voluntari in localitatea Toplet ce vin in sprijinul
comunitatii cu scopul de a preveni si reduce fenomenul de abandon scolar. Prin activitatile propuse, SNCRR Filiala Caras Severin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Caras Severin prin construirea unui dialog sustenabil cu societatea
civila si administratia publica din judet;
2. OS2. Cresterea gradului de constientizare a rolului societatii civile in comunitate;
3. OS3. Cresterea gradului de pregatire profesionala in domeniul primului ajutor in vederea asigurarii unui grad ridicat de interventie
in comunitate, cresterea spiritului civic si mai ales crearea unui cadru prietenos pentru copii in vederea prevenirii abandonului
scolar si reducerii acestuia;
4. OS4. Cresterea premiselor de colaborare ale comunitatii si participarea/implicarea acesteia în procesul de luare a deciziilor;
5. OS5. Crearea si dezvoltarea retelei de voluntari in localitatea Toplet;
6. OS6. Consolidarea parteneriatului intre societatea civila si administratia publica prin actiuni constante de implicare reciproca in
viata comunitatii;
7. OS7. Cresterea gradului de constientizare privind egalitatea de sanse si nediscriminarea in in comunitate precum si a importantei
protejarii mediului prin participarea activa a cetatenilor la dezvoltarea durabila;</t>
  </si>
  <si>
    <t>Proiectul îsi propune sa dezvolte mecanisme, proceduri, instrumente de consolidare a responsabilitatii civice referitoare la modificarile si
evolutiile generate de digitalizarea unor activitati esentiale (educatie scolara, procese administrative, activitati sociale), în contextul
restrictiilor generate de pandemia de Covid-19.
Proiectul va pune accent pe actiuni de combatere a dezinformarii din spatiul online prin intensificarea dialogului civic si derularea unor
interventii sistematice de educatie digitala (”information and digital literacy”) proiectate pentru trei categorii de grup tinta: cadre didactice din licee si scoli gimnaziale (100), personal din ONG-urilor – voluntari si angajati (20) si functionari ai administratiei locale - primarii, consilii
judetene (30).
Obiectivele specifice ale proiectului
1. Dezvoltarea unor instrumente colaborative pentru consolidarea capacitatii digitale si a rezilientei informationale a ONG-urilor si
partenerilor sociali din Municipiul Campulung, in context pandemic si post-pandemic;
2. Echiparea profesorilor din ciclul preuniversitar cu instrumente inovative si competente specifice menite a-i sprijini in gestionarea
proceselor didactice online, inclusiv prin imbunatatirea capacitatii acestora de a-i indruma pe elevi sa adopte un comportament
digital responsabil;
3. Sprijinirea Primariei Municipiului Campulung in dezvoltarea unei strategii locale de redresare si consolidare sociala, in contextul
provocarilor asociate cu pandemia de Covid-19.</t>
  </si>
  <si>
    <t>Obiectivul general al proiectului “Fii pregatit!” consta în cresterea capacitatii organizationale a SNCRR Filiala Iasi de a se implica în
formularea unui standard comun de interventie in situatie de urgenta la nivelul comunitatii si totodata dezvoltarea la nivel local a unei
retele de voluntari in Comuna Plugari, ce vin in sprijinul comunitatii in situatie de criza. Prin activitatile propuse, SNCRR Filiala Iasi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Iasi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in domeniul primului ajutor, in vederea asigurarii unui grad ridicat de interventie in
comunitate;
4. OS4. Cresterea premiselor de colaborare ale comunitatii si participarea/implicarea acesteia în procesul de luare a deciziilor;
5. OS5. Dezvoltarea retelei de voluntari in Comuna Plugari prin incheierea a minim 50 de contracte de voluntariat ;
6. OS6. Cresterea gradului de constientizare privind egalitatea de sanse si nediscriminarea in in comunitate precum si a protectiei
mediului prin promovarea obiectivelor de dezvoltare durabila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</si>
  <si>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</si>
  <si>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</si>
  <si>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 Capacitate crescuta a minim 30 ONG-urilor atestate ca intreprinderi sociale in baza Legii nr.219/2015 si
a unui partener sociali de a se implica în formularea si promovarea dezvoltarii la nivel local in regiunile Vest, Nord-Vest si Nord-Est
Obiectivele specifice ale proiectului
1. Dezvoltarea si introducerea de sisteme si standarde comune în administratia publica ce optimizeaza procesele decizionale
orientate catre cetateni si mediul de afaceri în concordanta cu SCAP prin implicarea ONG-urilor si partenerilor sociali
2. Formarea a 50 de persoane din 30 de ONG-uri atestate ca intreprinderi sociale si un partener social vor participa la sesiunile de
training si la dezbaterile publice pe marginea formularii si promovarii obiectivelor si strategiilor de dezvoltare locala.
3. 20 persoane din cadrul autoritatilor publice locale in a caror raza teritoriala functioneaza intreprinderi sociale cu rol de sustinere a
intreprinderilor sociale si 10 reprezentanti ai compartimentelor de economie sociala din cadrul AJOFM-urilor din cele 3 regiuni de
implementare, cu rol de certificare si reglementare a intreprinderilor sociale vor participa alaturi de reprezentantii ONG-urilor
atestate ca intreprinderi sociale la mesele rotunde/workshopurile organizate ca activitati intreprinse in comun in cadrul retelei
tematice</t>
  </si>
  <si>
    <t>Obiectiv General: întarirea capacitatilor institutionale, de valorizare a resurselor locale si combaterea discriminarii catre o societate mai
echilibrata si sustenabila în Comuna Ticusu.
Obiectivele specifice ale proiectului
1. Consolidarea relatiile interinstitutionale dintre Asociatia Bun Venit Transilvania si Primaria Comunei Ticusu: prin semnarea unui
parteneriat de dezvoltare locala, pentru a consolida, astfel, capacitatea instalata de interventie teritoriala integrata.
2. Întarirea capacitatii institutionale ale Asociatiei Bun Venit Transilvania si a Primaria Comunei Ticusu: prin consolidarea
cunostiintelor / capacitatilor (capacities) tehnice a resurselor umane din cadrul acestor institutii, precum si prin sensibilizarea
functionarilor publici si ai factorilor de decizie politica, pe probleme precum mediu, dezvoltare durabila si egalitate de sanse, în
raport cu aspecte precum genul, etnia, religia, vârsta si conditia sociala.
3. Contribuirea la valorificarea resurselor locale ale teritoriului: astfel încât aceste resurse sa fie integrate în mod activ în procesul de
dezvoltare economica si sociala prin punerea la dispozitia populatiei mecanisme de învatare a tehnicilor si metodelor, care sa le
permita sa le utilizeze. resurse locale ca intrari si instrumente pentru a depasi saracia si excluziunea.
4. Contribuirea la reducerea excluziunii digitale: contribuind la transmiterea de cunostinte catre populatie, acestia vor putea lupta
împotriva excluziunii digitale, într-o lume din ce în ce mai interconectata.
5. Promovarea, consolidarea si îmbunatatirea sentimentului de apartenenta la teritoriu al comunitatii: prin introducerea
metodologiilor si practicilor de reinterpretare a teritoriului, a frumusetii acestuia si a adevaratului sau potential.
6. Contribuirea la procesul de construire a unei societati mai durabile, corecte si integrate: în care limbajul artistic poate fi folosit si
ca instrument de comunicare si interpretare a lumii, cu respect deplin pentru mediu si sanse egale pentru toti.</t>
  </si>
  <si>
    <t>Dezvoltarea unui mecanism pentru sustinerea si promovarea dezvoltarii la nivel local in domeniul bugetarii participative, ca premisa pentru
imbunatatirea proceselor decizionale si consolidarea relatiei intre comunitatea locala si administratia publica locala din judetul Vrancea.
Obiectivele specifice ale proiectului
1. Obiectiv specific 1. Cresterea competentelor de advocay in domeniul bugetarii participative pentru 90 de participanti (reprezentati
ai ONG-urilor si partenerilor sociali) de la nivel local.                                                                                                                                                                                                                2. Obiectiv Specific 2. Initierea si punerea in functiune a unui mecanism de dialog social pentru sustinerea si promovarea dezvoltarii
la nivel local in domeniul bugetarii participative.</t>
  </si>
  <si>
    <t>Obiectivul general al proiectului este consolidarea capacitatii organizatiilor non-guvermanetale si a partenerilor sociali de a se implica în
formularea si promovarea la nivel local printr-un program integrat de promovare a corelarii politicilor publice locale cu principiile dezvoltarii
durabile in turism, printr-un parteneriat de dezvoltare locala, realizand 3 instrumente de sprijin sustinute de o campanie de consultare
publica cu impact la 300 persoane si formarea a 112 persoane ca expert de dezvoltare durabila, în termen de 14 luni.                                                        1. O1. Dezvoltarea si diseminarea a trei instrumente care sa sprijine administratia publica locala în elaborarea si implementarea de
politici publice în domeniul dezvoltarii durabile privind sectorul turismului (manual orientativ de implementare la nivel local a
activitatilor de monitorizare a indicatorilor dezvoltarii durabile in turism, un ghid pentru agentii economici si un ghid pentru
comunitate privind dezvoltarea durabila in turism), pana in noiembrie 2022
2. O2. Cresterea gradului de informare a comunitatiilor cu privire la dezvoltarea durabila in domeniul turismului si la modalitati de
sustinere a implicarii active pentru 25 persoane prin realizarea unui grup de lucru cu vizibilitate online privind dezvoltarea durabila
in turism la nivelul politicilor locale (cuprinzand temele –ODD si indicatorii de dezvoltare durabila, turism sustenabil, egalitatea de
sanse si nediscriminarea, politici locale privind dezvoltarea durabila in turism, protectia mediului)
3. O3. Cresterea capacitatii ONG-urilor si a partenerilor sociali de a se implica în formularea si promovarea dezvoltarii la nivel local
pentru 30 ONG-uri si parteneri sociali prin realizarea unei campanii de consultare a acestora din regiunile de implementare (3
regiuni) si vizibilitate online privind indicatorii de dezvoltare durabila in turism (o masa rotunda si un chestionar online)
4. O4. Cresterea capacitatii AST si a Asociatiei EURO&lt;26 de a se implica in formularea si promovarea dezvoltarii la nivel local prin
realizarea unor programe pentru personalul propriu de formare/instruire de 5 zile finalizate cu certificare in expert de dezvoltare
durabila pentru 14 persoane.
5. O5: Cresterea capacitatii AST si a Asociatiei EURO&lt;26 de a se implica in formularea si promovarea dezvoltarii la nivel local prin
realizarea unor programe de formare/instruire de 5 zile implementate in parteneriat cu autoritati publice pentru 84 participanti
certificati in expert de dezvoltare durabila (alesi locali, personal din autoritatile si institutiile publice si cetateni).
6. O6: Implicarea in formularea si promovarea dezvoltarii sustenabile la nivel local prin implementarea in partenereriat de initiative
de dezvoltare a responsabilitatii civice, de implicare a comunitatilor locale in viata publica si de participare la procesele
decizionale, de promovare a egalitati de sanse si nediscriminarii, privind a turismul sustenabil in mediul online prin implementarea
si diseminarea unei platforme (website) cu instrument de colectare de date privind indicatorii dezvoltarii durabile in turism, in
termen de 8 luni.
Ne propunem atingerea a doua directii: cresterea constientizarii cu privire la standardizarea si monitorizarea indicatorilor in turism
si oferirea posibilitatii catre ONG-uri si partenerii sociali de raportarea a proiectelor cu impact asupra indicatorilor din turism, cu un
minim de 300 vizualizari pana la finalizarea proiectului.</t>
  </si>
  <si>
    <t>Obiectivul general al proiectului este de a dezvolta si consolida capacitatea ONG-urilor si partenerilor sociali de a se implica in sprijinirea si
dezvoltarea de initiative de dezvoltare a responsabilitatii civice, de implicare a comunitatii locale în viata publica si de participare la
procesele decizionale, avand la baza promovarea principiilor egalitatii de sanse si nediscriminarii, precum si a dezvoltarii durabile.                       1. OS 1 Crearea Monitorului societatii civile cu responsabilitate la nivelul comunitatii Lehliu-Gara si judetului Calarasi, in vederea
implicarii acesteia in sprijinirea si dezvoltarea de initiative de dezvoltare locala
2. OS 2 Constituirea si operationalizarea unui Comitet de responsabilitate civica si implicare locala, care sa reuneasca reprezentanti
ai tuturor actorilor sociali relevanti (societate civila, cetateni, reprezentanti ai autoritatilor locale)
3. OS 3 Crearea unui comitet consultativ local care sa asigure dezvoltarea de mecanisme, proceduri, instrumente de consolidare a
dialogului social si civic
4. OS 4 Dezvoltarea unui instrument de monitorizare si evaluare independenta a politicilor si strategiilor la nivel local
5. OS 5 Dezvoltarea capacitatii partenerilor sociali si a ONG-urilor prin instruiri in domeniul responsabilitatii civice si bunei
guvernante</t>
  </si>
  <si>
    <t>OBIECTIVUL GENERAL (SCOPUL) PROIECTULUI ESTE CRESTEREA CAPACITATII ONG-URILOR SI PARTENERILOR SOCIALI DE
A SE IMPLICA IN FORMULAREA SI PROMOVAREA DEZVOLTARII LA NIVELUL UAT PLOIESTI.                                                                                                                                          OS1. Implicarea partenerilor sociali, ONG-urilor si cetatenilor in formularea si promovarea dezvoltarii la nivelul UAT Ploiesti prin
dezvoltarea si implementarea unui mecanism de consultare timp de 14 luni.                                                                                                                                                        OS2. Dezvoltarea capacitatii partenerilor sociali si ONG-urilor de a se implica in formularea si promovarea dezvoltarii la nivelul
UAT Ploiesti timp de 10 luni prin instruire practica, formare continua a 70 de pers din cadrul ONG-urilor si partenerilor sociali care
vor fi certificati si 2 activitati intreprinse in comun cu autoritati locale si participarea lor la activitatile retelelor nationale si europene.</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</si>
  <si>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</si>
  <si>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Dezvoltarea de mecanisme, proceduri si instrumente care sa consolideze dialogul social si civic.
Obiectivele specifice ale proiectului
1. OS 1. - Dezvoltarea unui set de indicatori de monitorizare a dialogului social si civic
2. OS 2. - Dezvoltarea si implementarea unui instrument de consolidare a dialogului social si civic în toate domeniile de interes,
domeniul administratiei publice, domeniul muncii, dezvoltarii locale.</t>
  </si>
  <si>
    <t>Consolidarea capacitatii Fundatiei Zamolxes în vederea atragerii de membri si voluntari pentru cresterea implicarii cetatenilor în
dezvoltarea comunitatii locale a Municipiului Câmpina, oferind tuturor vârstelor si grupurilor sociale oportunitatea de a se implica în actiuni
voluntare, initiative care contribuie la promovarea si respectarea valorilor democratice si a drepturilor omului.
Obiectivele specifice ale proiectului
1. OS1: Realizarea unui parteneriat de dezvoltare locala între Fundatia Zamolxes si Unitatea Administrativa Teritoriala a Municipiului
Câmpina pe o perioada de 14 luni în perioada de implementare a proiectului si înca 6 luni dupa finalizarea proiectului.
2. OS2: Îmbunatatirea competentelor profesionale a 100 de voluntari ai Fundatiei Zamolxes privind cetatenia activa.
3. OS3: Elaborarea unor instrumente de comunicare si consultare a comunitatii locale cu privire la initiative de dezvoltare locala a
Municipiului Câmpina.
4. OS4: Derularea unei Campanii privind dezvoltarea cetateniei active în Municipiul Câmpina pe toata perioada de implementare a
proiectului.</t>
  </si>
  <si>
    <t>Consolidarea capacitatii Asocitiei de Dezvoltare Intercomunitara Zona Metropolitana Drobeta Turnu Severin în vederea atragerii de
membri si voluntari pentru cresterea implicarii cetatenilor în dezvlotarea comunitatii locala a Zonei Metropolitane Drobeta Turnul Severin,
oferind tuturor vârstelor si grupurilor sociale oportunitatea de a se implica în actiuni voluntare, initiative care contribuie la promovarea si
respectarea valorilor democratice si a dreptului omului.
Obiectivele specifice ale proiectului
1. OS1: Realizarea unui parteneriat de dezvolotarea locala între A.D.I. Zona Metropolitana Drobeta Turnu Severin si UAT Dorbeta-
Turnu Severin, Consiliul Judetean Mehedinti, UAT Orsova, UAT Simian, UAT Breznita , UAT Malovat, UAT Izvorul Birzii UAT
Prunisor, Fundatia Zamolxes pe o perioada de 14 luni în perioada de implementare a proiectului si înca 6 luni dupa finalizarea
proiectului.
2. OS2: Elaborarea unor instrumente de comunicare si consultare a comunitatii locale cu privire la initiative de dezvoltare locala a
Zonei Metropolitane Drobeta Turnu Severin</t>
  </si>
  <si>
    <t>Scopul proiectului este dezvoltarea procesului de consultare multi-actori si a capacitatii ecosistemului institutional si uman relevant pentru
Învatamântul Profesional si Tehnic (ÎPT) din Municipiile Piatra Neamt si Resita de a dialoga eficient, propune politici publice si a gasi solutii
pentru o mai buna integrare socio-profesionala a tinerilor absolventi ÎPT.
Obiectivele specifice ale proiectului
1. Dezvoltarea dialogului institutional de la nivelul Municipiilor Piatra Neamt si Resita prin evaluarea dialogului multi-actori si a
capacitatii ONG-urilor si a actorilor locali relevanti (parteneri sociali, licee ÎPT, AJOFM, ISJ) de a fi parte din procesele decizionale
locale si prin publicarea unei analize în acest sens.
2. Dezvoltarea capacitatii a 16 reprezentanti ai ONG-urilor active în domeniul tineretului si/sau ocuparii si a Camerelor de Comert si
Industrie din Piatra Neamt si Resita de a se implica în parteneriate multi-actori, de a propune politici publice si de a implementa
proiecte pentru ocuparea tinerilor din ÎPT.
3. Dezvoltarea capacitatii a 20 reprezentanti ai partenerilor sociali din Piatra Neamt si Resita de a se implica în parteneriate multiactori,
de a propune politici publice si de a implementa proiecte pentru ocuparea tinerilor din ÎPT.
4. Îmbunatatirea capacitatii autoritatilor publice locale din Piatra Neamt si Resita în domeniul politicilor, finantarilor si bunelor practici
în materie de ocuparea tinerilor ÎPT prin organizarea a doua sesiuni de formare dedicate unui numar de minim 10 angajati ai
acestora.
5. Consolidarea dialogului social care fundamenteaza oferta educationala (calificari, competente) în domeniul ÎPT, în strânsa
legatura cu cererea pe piata muncii în Piatra Neamt si Resita prin configurarea si pilotarea unei metodologii de consultare a
partenerilor sociali pentru identificarea nevoilor de noi calificari si competente pe piata muncii.
6. Sprijinirea dezvoltarii la nivel local prin crearea si pilotarea unui mecanism sustenabil de consultare, parteneriat si dialog între
autoritatea publica si actorii locali relevanti pentru ocuparea si formarea tinerilor din învatamântul ÎPT.
7. Informarea si comunicarea proiectului în cele doua comunitati locale si pe plan national cu scopul cresterii nivelului de întelegere
si sustinere a publicului pentru revitalizarea învatamântului ÎPT si a ocuparii tinerilor din ÎPT dn Piatra Neamt si Resita.</t>
  </si>
  <si>
    <t>Obiectivul general al proiectului consta in implicarea activa a ONG-urilor si a cetatenilor pentru dezvoltarea localitatilor Simian si Hinova
din judetul Mehedinti, punandu-se accentul pe principiile dezvoltarii durabile si pe o mai buna relationare a societatii civile cu institutiile
publice din cele doua localitati.
Obiectivele specifice ale proiectului
1. Os. 1 Parteneriate între ONG-uri/parteneri sociali si autoritati locale, care sunt functionale la 6 luni dupa finalizarea proiectelor,
parteneriat ce va conduce la dezvoltarea locala prin activitatile propuse pe proiect. Astfel se va tine cont de specificul activitatilor
din zona respectiva si vor fi realizate: analize asupra necesitatilor investitionale din localitate, ghid de bune practici in practicarea
unei agriculturi ce respecta principiile dezvoltarii durabile, pentru protejarea mediului inconjurator, procedura relationala cu
societatea civila, manual de bune practici ai a unui indrumar care vizeaza dezvoltarea de mecanisme si instrumente de
consolidare a dialogului social si civic, pagina web in vedere eficientizarii comunicarii UAT-urilor cu societatea civila.
2. Os. 2 Pentru o mai buna pregatire profesionala si o mai buna relationare cu societatea civila se vor realiza cursuri de formare
profesionala la care vor participa anagajati ai UAT-urilor Simian si Hinova, acestia fiind evaluati si certificati la finalizarea cursurilor
de formare.</t>
  </si>
  <si>
    <t>Obiectivul general al proiectului “Competente civice in Vrancea” consta în cresterea capacitatii organizationale a SNCRR Filiala Vrancea
de a se implica în formularea unui instrument comun de interventie in situatie de criza/urgenta la nivelul comunitatilor Adjud si Pufesti si
totodata dezvoltarea de abilitati si competente in randul voluntarilor, ce vin in sprijinul comunitatii in situatie de criza/urgenta. Prin
activitatile propuse, SNCRR Filiala Vrancea isi va extinde aria de interventie si va multiplica activitatile cu impact pozitiv in comunitate,
precum si initiative care îsi propun cresterea implicarii cetatenilor în comunitate, dezvoltarea spiritului civic precum si crearea premiselor
de participare în procesul de luare a deciziilor la nivelul comunitatii.
Obiectivele specifice ale proiectului
1. OS1.Cresterea capacitatii organizationale a SNCRR Filiala Vrancea prin construirea unui dialog sustenabil cu societatea civila si
administratia publica;
2. OS2. Cresterea gradului de constientizare a rolului societatii civile in comunitate prin elaborarea unui instrument comun privind
interventia in situatie de urgenta
3. OS3. Dobandirea de abilitati civice in randul comunitatilor, in vederea asigurarii unui grad ridicat de interventie in comunitate;
4. OS4. Cresterea premiselor de colaborare ale comunitatii si participarea/implicarea acesteia în procesul de luare a deciziilor;
5. OS5.Dezvoltarea retelei de voluntari in Adjud si Pufesti prin incheierea a minim 50 de contracte de voluntariat (30 de contracte de
voluntariat in Adjud si 20 de contracte de voluntariat in Pufesti);
6. OS6. Cresterea gradului de constientizare privind egalitatea de sanse si nediscriminarea in comunitate precum si a protectiei
mediului prin promovarea obiectivelor de dezvoltare durabila</t>
  </si>
  <si>
    <t>Obiectivul general al proiectului vizeaza consolidarea capacitatii ONG-urilor, partenerilor sociali si actorilor relevanti în domeniul
criminalitatii, la nivelul judetului Mures, de a se implica în formularea si promovarea dezvoltarii locale, prin optimizarea masurilor de
prevenire a criminalitatii si crestere a sigurantei publice.
Obiectivele specifice ale proiectului
1. Cresterea capacitatii a 6 ONG-uri, 2 organizatii sindicale de învatamânt din judetul Mures de a se implica în formularea si
promovarea dezvoltarii locale prin organizarea de instruiri în politici publice, advocacy, egalitate de sanse si dezvoltare durabila
2. Consolidarea dialogului social dintre 6 ONG-uri, 2 organizatii sindicale de învatamânt, comunitatea locala si autoritatile publice
relevante în domeniul prevenirii criminalitatii, prin crearea unei platforme de dialog social, organizarea a 15 întâlniri de lucru
tematice
3. Încheierea unui parteneriat între 6 ONG-uri, 2 organizatii sindicale de învatamânt si autoritatile publice în vederea sustinerii si
promovarii dezvoltarii la nivel local în domeniul prevenirii criminalitatii din judetul Mures, prin semnarea unui protocol de
colaborare si dialog social
4. Dezvoltarea capacitatii a 14 persoane, angajati si membrii din ONG-uri si sindicate din învatamânt de a se implica în formularea
de propuneri alternative la politicile publice actuale, prin instruire specifica.
5. Cresterea gradului de constientizare si implicare civica a 500 de persoane din judetul Mures, prin organizarea unei consultari
publice, 5 campanii de constientizare si elaborarea unei proceduri de implementare a programului educatie pentru siguranta</t>
  </si>
  <si>
    <t xml:space="preserve">Obiectivul general al proiectului este reprezentat de cresterea capacitatii Patronatului Tinerilor Intreprinzatori din Romania de a se implica
in formularea si promovarea dezvoltarii la nivel local in aria sa de activitate si expertiza, respectiv sustinerea antreprenoriatului in general
si a tinerilor intreprinzatori in special.
Obiectivele specifice ale proiectului
1. Obiectivul specific 1:
Cresterea capacitatii PTIR de a se implica in dezvoltarea mediului de afaceri si promovarea antreprenoriatului la nivel local prin
derularea unui program de formare specifica pentru reprezentantii sai. In cadrul proiectului, 30 de reprezentanti ai PTIR vor urma
un program de formare in “Buna guvernanta si dialog social”.
2. Obiectivul specific 2:
Dezvoltarea unui mecanism pentru sustinerea si promovarea dezvoltarii mediului de afaceri la nivel local. In vederea atingerii
acestui obiectiv, va fi realizata o strategie de dezvoltare a mediului de afaceri la nivel local, strategie fundamentata si bazata pe
nevoile reale ale mediului de afaceri la nivelul Municipiului Ploiesti. 
3. Obiectivul specific 3:
Dezvoltarea unui mecanism de consultare a autoritatilor si institutiilor publice cu partenerii sociali si ONG-urile relevante în
elaborarea politicilor si strategiilor pentru dezvoltarea mediului de afaceri la nivel local. </t>
  </si>
  <si>
    <t>Scopul asociatiei APOCL este de a formula si implementa politici publice locale si de a contribui la satisfacerea nevoii de sanatate a
populatiei. Împreuna cu partenerii nostri evaluam contextul familial, social, economic si cultural în care se manifesta problemele pacientilor din judetul Calarasi astfel ca putem stabili nevoile de îngrijire prin elaborarea de strategii bazate pe mentinerea standardelor de calitate, adecvate societatii moderne prin parteneriat public-privat.                                                                                                                                                                             O1- Elaborarea unui Plan de actiune comun pentru evaluarea si dezvoltarea serviciilor locale pentru ingirjirea pacientilor
oncologici în judetul Calarasi prin implicarea pacientilor/asociatiilor de pacienti si reprezentantilor societatii civile în probleme de
calitate în sanatate, pentru cresterea gradului de satisfactie a pacientilor si a populatiei judetului Calarasi fata de serviciile de
sanatate
2. O2- Dezvoltarea aptitudinilor si capacitatii a 75 de persoane din randul a:13 ONG-uri, parteneri sociali si angajati ai institutiilor
publice de a implementa instrumente de evaluare si îmbunatatire a serviciilor medicale prin parteneriat public-privat în judetul
Calarasi;
3. O3 - Promovarea bunelor practici în implementarea standardelor comune în administratia publica locala, furnizorii de servicii
medicale si sector civil, pentru optimizarea procesele orientate catre beneficiari/pacientii oncologici.</t>
  </si>
  <si>
    <t>Dezvoltarea si implementarea de parteneriate si mecanisme de cooperare intre autoritatile publice, ONG-uri si institutii de învatamânt
preuniversitar pentru elaborarea de politici si strategii privind educatia noilor generatii de tineri precum si dezvoltarea capaciatilor
membrilor ONG-urilor si ai reprezentantilor comunitatii locale prin instruiri si participari la retele tematice.                                                                               1. OS1. Dezvoltarea si implementarea a 3 parteneriate locale APL-ONG-Institutii de învatamânt preuniversitar pentru elaboarea unei
politici locale educationale pentru tineri si a unui plan de masuri privind educatia preuniversitara si tineretul la nivel local
2. OS2. Instruirea si certificarea a 60 de membri ai grupului tinta din ONG-uri, APL si partenerilor sociali din educatie in vederea
intariririi competentelor pentru dezvoltare locala
3. OS3. Organizarea si desfasurarea a 6 dezbateri publice pe teme de egalitate de sanse, nediscriminare si dezvoltare umana
durabila în rândul tinerilor</t>
  </si>
  <si>
    <t>Obiectivul general al proiectului consta în promovarea dezvoltarii sistemului de educatie în judetul Giurgiu prin dezvoltarea parteneriatului
la nivel local, cresterea transparentei, consultarii si monitorizarii politicilor si strategiilor în domeniu, precum si prin implicarea cetatenilor si organizatiilor acestora în comunitate si în procesul de luare a deciziilor. Proiectul contribuie la atingerea scopului apelului de proiecte
întrucât creste capacitatea a 50 de organizatii neguvernamentale, inclusiv partenerii de proiect, de a se implica în formularea si
promovarea dezvoltarii educatiei la nivelul judetului Giurgiu. Capacitatea organizatiilor este consolidata prin participarea reprezentantilor
acestora în mecanisme de consultare (grupurile de lucru si dezbaterile publice) si în programe de formare în domeniul politicilor publice
pentru educatie.
Obiectivele specifice ale proiectului
1. 1. Implicarea prin mecanisme noi de consultare si transparenta a cel putin 500 de persoane, cetateni, experti, elevi si organizatii
neguvernamentale, în procesul de monitorizare si actualizare a strategiei de dezvoltare a educatiei în judetul Giurgiu în
urmatoarele 14 luni.</t>
  </si>
  <si>
    <t>Crearea unui mecanism de democratie participativa pentru dezvoltarea locala prin implicarea ONG-urilor, personaluiui din administratia
publica locala si membrilor comunitatii prin instruirea si profesionalizarea de resurse umane ale organismelor implicate din ONG,
administratia locala, populatia generala.
Obiectivele specifice ale proiectului
1. Cresterea competentelor profesionale pentru un numar de 61 beneficiari - gruptinta, membrii ai World Vision România, ai
administratiei publice locale si cetateni ai comunitatilor implicate.
2. Crearea a 2 Birouri pentru Dezvoltare Locala în Comunitatile Muntenii de Jos, Lipovat din Judetul Vaslui, în cadrul Parteneriatului
pentru Dezvoltare Locala.
3. Implicarea societatiii civile în deciziile ce privesc dezvoltarea comunitara, printr-o campanie de constientizare si aplicare a
principiilor democratiei participative: „O idee pentru viitor”.
4. Crearea unui HUB Informational sub forma unui mecanism pentru sustinerea si promovarea dezvoltarii la nivel local si de
interactiune în trinomul Autoritati Publice – ONG – cetateni .</t>
  </si>
  <si>
    <t>OBIECTIVUL GENERAL (SCOPUL) PROIECTULUI ESTE CRESTEREA CAPACITATII ONG-URILOR SI PARTENERILOR SOCIALI DE
A SE IMPLICA IN FORMULAREA SI PROMOVAREA DEZVOLTARII LA NIVELUL UAT CIULNITA.                                                                                                                                          OS1. Implicarea partenerilor sociali, ONG-urilor si cetatenilor in formularea si promovarea dezvoltarii la nivelul UAT Ciulnita prin
dezvoltarea si implementarea unui mecanism de consultare timp de 14 luni.                                                                                                                                                             OS2. Dezvoltarea capacitatii partenerilor sociali si ONG-urilor de a se implica in formularea si promovarea dezvoltarii la nivelul
UAT Ciulnita timp de 8 luni prin instruire practica, formare continua a 56 de pers din cadrul ONG-urilor si partenerilor sociali care
vor fi certificati si 2 activitati intreprinse in comun cu autoritati locale si participarea lor la activitatile retelelor nationale si europene.</t>
  </si>
  <si>
    <t>Sprijinirea de initiative de dezvoltare a responsabilitatii civice, de implicare a comunitatilor locale în viata publica si de participare la
procesele decizionale, de promovare a egalitatii de sanse si nedescriminarii si dezvoltarii durabile.
Obiectivele specifice ale proiectului
1. Os 1.- Dezvoltarea unui set de initiative de dezvoltare a responsabilitatii civice si de implicare a comunitatii locale la procesele
decizionale
2. Os 2. - Dezvoltarea si implementarea unui set de initiative de promovare a egalitatii de sanse, nediscriminare si a dezvoltarii
durabile.</t>
  </si>
  <si>
    <t>Obiectivul general vizeaza cresterea calitatii administratiei publice locale din comuna Stulpicani prin introducerea unor standarde comune
care asigura optimizarea proceselor orientate catre beneficiari, proiectul fiind realizat in deplina concordanta cu SCAP.                                                      OS.1. Cresterea capacitatii societatii civile de a se implica in formularea si promovarea dezvoltarii la nivel local prin includerea in
cursuri de formare profesionala a 40 de cetateni (reprezentanti ai ong-urilor, parteneri sociale, alesi locali), din comuna Stulpicani.                              OS.2. Cresterea calitatii administratiei publice in comuna Stulpicani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</si>
  <si>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Obiectivul general al proiectului este implementarea pe termen mediu a unui sistem de e-consultare pentru luarea deciziilor publice de
interes local printr-un parteneriat societate civila-administratie publica care sustine în mod direct interesele si initiativele cetatenilor din
judetul Giurgiu.
Obiectivele specifice ale proiectului
1. Dezvoltarea unui sistem de e-consultare publica care va fi functional în cadrul parteneriatului de dezvoltare locala în municipiul
Giurgiu.
2. Întarirea capacitatii societatii civile locale si a administratiei publice locale de a se implica în dezvoltarea la nivel local prin activitati
de formare în domeniul utilizarii noilor tehnologii informationale în procesele decizionale si participarea civica, promovarea
egalitatii de sanse si nediscriminarii si dezvoltare durabila.
3. Identificarea, dezbaterea si supunerea la vot prin sistemul de e-consultare a doua probleme de interes public si de impact asupra
unui numar semnificativ de cetateni ai municipiului Giurgiu.</t>
  </si>
  <si>
    <t>Cresterea capacitatii ONG-urilor si partenerilor sociali din Petrila si Vulcan de a se implica în formularea si promovarea dezvoltarii la nivel
local
Obiectivele specifice ale proiectului
1. Elaborarea unei metodologii de evaluare a nevoilor de implicare în formularea si promovarea dezvoltarii la nivel local a ONG-urilor
si partenerilor sociali la nivelul oraselor Petrila si Vulcan. Identificarea solutiilor pentru cresterea capacitatii ONG-urilor si a
partenerilor sociali în formularea si promovarea dezvoltarii la nivel local (raport)
2. Organizare grupuri civice formate din ONG-uri (inclusiv reprezentanti ai structurilor asociative ale autoritatilor administratiei
publice locale, ai camerelor de comert) si reprezentanti ai partenerilor sociali (patronate si sindicate), pentru monitorizarea si
evaluarea strategiilor de dezvoltare locala. Organizare dezbateri publice privind strategiile de dezvoltare durabila a oraselor
Petrila si Vulcan. Organizare sesiuni de instruire privind principiile dezvoltarii durabile, metode si instrumente de monitorizare a
legiferarii locale si advocacy (dialog si reprezentare institutionala)
3. Dezvoltarea unui manual ce va cuprinde instrumente de monitorizare si evaluare independenta a politicilor si strategiilor la nivel
local, proceduri de interactiune cu autoritatile si institutiile administratiei publice. Monitorizarea implementarii obiectivelor de
dezvoltare durabila si implicarea în procesul de elaborare a rapoartelor tematice de monitorizare
4. Elaborarea unei cercetari (studiu) al nivelului de transparenta institutionala la nivelul oraselor Petrila si Vulcan. Instrumentalizarea
barometrului comparativ al perceptiei grupurilor civice privind dezvoltarea durabila</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</si>
  <si>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</si>
  <si>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Consolidarea capacitatii FSLI de implicare in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Obiectivele specifice ale proiectului
1. OS1 - identificarea, filtrarea si stabilirea masurilor necesare care vor fi concretizate intr-un Ghid de Bune Practici pentru ONG-uri
si partenerii sociali privind implicarea acestora în formularea si promovarea de politici publice si promovarea dezvoltarii locale
durabile.
2. OS2 - instruirea si formarea adecvata a personalului tinta (angajat, voluntar sau membru)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3. OS3. - Crearea de mecanisme pentru sustinerea si promovarea dezvoltarii la nivel local prin dialog social si civic: cadru general
de functionare a unui Consiliu Consultativ Cetatenesc de Dezvoltare Locala (CCC-DL), retea locala de parteneri sociali, ONG-uri
si alti actori ai societatii civile si acorduri de tip PDL.</t>
  </si>
  <si>
    <t>Consolidarea capacitatii ARPR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OS1 - dentificarea, filtrarea si stabilirea masurilor necesare care vor fi concretizate intr-un Ghid de bune practici pentru ONG-uri si
partenerii sociali privind implicarea acestora în formularea si promovarea de politici publice si promovarea dezvoltarii locale
durabile, cu un capitol special destinat implicarii in probleme protectia mediului prin colectarea selectiva a deseurilor.                                                      OS2 - Instruirea si formarea adecvata a personalului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respectiv: formarea unui numar
de minim 60 de persoane, prin cursuri, seminarii si workshopuri:                                                                                                                                                                                       OS3 - Crearea de mecanisme pentru sustinerea si promovarea dezvoltarii la nivel local prin dialog social si civic: 1 cadru general
de functionare a unui Consiliu Consultativ Cetatenesc de Dezvoltare Locala (CCC-DL), 1 Retea locala de parteneri sociali, ONGuri
si alti actori ai societatii civile; minim 5 acorduri de tip PDL.</t>
  </si>
  <si>
    <t>OG: Cresterea capacitatii la nivelul comunitatii locale Brasov de a dezvolta si utiliza finantarea participativa (crowdfunding-ul) ca
mecanism alternativ de finantare pentru proiectele inovative din comunitate (inclusiv pentru proiectele propuse prin mecanismul de
bugetare participativa).                                                                                                                                                                                                                                                                                      1. OS1. Crearea unui mecanism inovator de finantare participativa pentru proiectele inovative din comunitati
2. OS2. Dezvoltarea capacitatii a 105 reprezentanti ai ONG-urilor, personal din autoritatile si institutiile publice locale, alesi locali,
cetateni care actioneaza in aria de implementare a Mun. Brasov, din care 25 din randul ONG-urilor, de a utiliza mecanisme de
finantare alternativa si scheme de match-funding pentru finantarea proiectelor inovative</t>
  </si>
  <si>
    <t>Cresterea capacitatii ONG-urilor si a partenerilor sociali de a se implica in formularea si promovarea politicilor de dezvoltare a mediului de afaceri local al orasului Comanesti, judet Bacau,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orasului Comanesti, judet Bacau
2. Cresterea capacitatii unui numar de 34 de persoane (reprezentanti ai ONG-urilor si partenerilor sociali) de a se implica in
formularea si promovarea de propuneri pentru dezvoltarea mediului de afaceri local al orasului Comanesti, judet Bacau, prin
dezvoltarea de competente de educatie financiara si planificare strategica
3. Dezvoltarea Strategiei de dezvoltare locala a orasului Comanesti, judet Bacau,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orasului
Comanesti, judet Bacau, si pentru inaintarea propunerilor alternative la politicile publice locale curente</t>
  </si>
  <si>
    <t>Obiectivul general al proiectul este: Cresterea capacitatii Asociatiei Magurele Science Park de a elabora si fundamenta mecanisme pentru
sustinerea si promovarea dezvoltarii la nivel local si de interactiune cu autoritatile si institutiile administratiei publice, prin inovare si
adaptabilitate fata de nevoile ecosistemului de cercetare - dezvoltare – inovare (CDI).
Obiectivele specifice ale proiectului
1. OBS1. Imbunatatirea capacitatii reprezentantior asociatiei MSP de a propune instrumente pentru dezvoltarea locala a
ecosistemului CDI prin derularea unui program de formare a 10 persoane in 3 luni;
OBS2. Crearea unei comunitati cu actori relevanti ai ecosistemului de CDI si 4 evenimente pentru implicarea acestora in
dezvoltarea locala prin inovare;
OBS3. Derularea unei campanii publice de informare si promovare la nivelul Regiunii BI in vederea educarii actorilor de a se
implica in procesele de consultare publica privind mecanismele de inovare pentru dezvoltarea locala durabila.</t>
  </si>
  <si>
    <t>Obiectivul acestui proiect este acela de a consolida capacitatea organizatiilor non-guvernamentale din localitatea Mogosoaia si din judetul
Ilfov de a se implica in formularea si promovarea dezvoltarii la nivel local. In acest sens, proiectul isi propune sa puna bazele unui
Parteneriat pentru Dezvoltare Locala, functional la 6 luni dupa finalizarea proiectului, intre Autoritatea Publica locala Mogosoaia,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OS 1 Dezvoltarea unui parteneriat între ONG-uri /parteneri sociali si UAT Mogosoaia, functional la 6 luni dupa finalizarea
proiectelor                                                                                                                                                                                                                                                                                                                OS 2 Dezvoltarea de proceduri si mecanisme pentru sustinerea si promovarea dezvoltarii la nivelul localitatii si de interactiune
dintre autoritatile si institutiile administratiei publice cu comunitatea locala in perioada 2021-2027;                                                                                           OS 3 Dezvoltarea capacitatii partenerilor sociali si a ONG-urilor prin instruiri in domeniul monitorizarii strategiilor si politicilor locale
si de participare la procesele decizionale, de promovare a egalitati de sanse si nediscriminarii, precum si a dezvoltarii durabile;</t>
  </si>
  <si>
    <t>Consolidarea capacitatii organizatiilor non-guvernamentale si parteneri sociali de a se implica în formularea si promovarea dezvoltarii la
nivel local, prin elaborarea si implementarea de mecanisme si instrumente de interactiune cu autoritati publice locale, precum si prin
instruire specializata si retea de cooperare la nivel local.
Obiectivele specifice ale proiectului
1. Obiectiv specific 1: Întarirea capacitatii de colaborare si participare activa a organizatiilor non-guvernamentale si partenerilor
sociali, prin dezvoltarea unui mecanism de consultare la nivelul Primariei Branesti si elaborarea a patru propuneri de politici
publice in domeniile: educatie, cultura, sanatate, mediu
2. Obiectiv specific 2: Dezvoltarea capacitatii interne a minimum 30 de ONG-urilor si parteneri sociali prin participarea la sesiuni de
instruire specifice, precum si prin intermediul unei retele tematice de cooperare la nivel local.
3. Obiectiv specific 3: Îmbunatatirea capacitatii ONG-urilor si parteneri sociali de a-si extinde aria de interventie, prin elaborarea si
testarea de instrumente de monitorizare si evaluare independenta a politicilor publice aplicate la nivel local.</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</si>
  <si>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OS1. Dezvoltarea de proceduri, mecanisme pentru sustinerea si promovarea dezvoltarii la nivel local si de interactiune cu
autoritatile si institutiile administratiei publice axate pe promovarea exporturilor si atragerea de investitii în cadrul IMM-urilor.                          OS2. Sustinerea capacitatii CNIPMMR si a altor parteneri sociali de a se implica în formularea si promovarea dezvoltarii la nivel
local in domeniul promovarea exporturilor si atragerea de investitii prin derularea unor activitati de formare specifice acestui
domeniu.</t>
  </si>
  <si>
    <t>Consolidarea capacitatii a cele putin 20 de organizatii non-guvernamentale din Municipiul Bucuresti de a participa la dezvoltarea incluziva
si durabila a capitalei prin economie sociala, solidara si circulara, prin introducerea de standarde si sisteme comune ONG si APL pentru
dezvoltarea de politici publice incluzive si prin interventie pilot, la nivelul Sectorului 3.                                                                                                                                                      Cresterea capacitatii a 20 de ONG-uri sociale si de mediu din Bucuresti de a se implica în promovarea dezvoltarii incluzive si
durabile a capitalei si a Sectorului 3, cu precadere prin economie sociala, solidara si circulara – la nivel strategic si practic,
operational, de implementare si monitorizare a politicilor publice prin formarea si certificarea a 40 de reprezentanti ONG in
"dezvoltare locala durabila" si "dezvoltare locala incluziva".                                                                                                                                                                                                   Imbunatatirea colaborarii si partneriatului dintre administratia publica locala si ONGuri în domeniile social, economie sociala,
ocupare si insertie-socio-profesionala a grupurilor dezavantajate, mediu si managementul inteligent al deseurilor – economie
circulara prin sustinerea dezvoltarii a 10 parteneriate relevante intre ONG si APL, din care cel putin 5 vor fi active la 6 luni de la
finalizarea proiectului.                                                                                                                                                                                                                                                                                             Îmbunatatirea comunicarii si transparentei decizionale si a participarii cetatenesti la luarea deciziilor în Municipiul Bucuresti si in
Sectorul 3 în domeniile dezvoltarii durabile si incluziunii sociale prin crearea platformei online “Bucurestiul social si solidar”, prin
facilitarea directa de dezvoltare de partenetiate (16 ateliere de lucru) si prin premierea parteneriatelor reale si de impact in cadrul
"Galei pareteneriatelor".</t>
  </si>
  <si>
    <t>Obiectivul principal al proiectului consta în cresterea capacitatii Centrului pentru Legislatie Nonprofit si a partenerilor acestuia de a se
implica în formularea si promovarea dezvoltarii politicilor din domeniul protectiei sociale la nivelul Sectorului 6 Bucuresti.
1. OS.1 Implementarea unui instrument de monitorizare si evaluare independenta a politicilor si strategiilor în domeniul protectiei
sociale la nivelul Sectorului 6 într-o perioada de 14 luni;
2. OS.2 Dezvoltarea unui mecanism de consultare a autoritatilor si institutiilor publice cu ONG-urile, partenerii sociali, institutiile de
învatamânt superior acreditate precum si a cetatenilor în elaborarea politicilor si strategiilor în domeniul protectiei sociale la nivelul
Sectorului 6 într-o perioada de 14 luni;
3. OS.3 Cresterea capacitatii a 10 reprezentanti ai ONG-urilor si 10 angajati ai Primariei Sector 6 de a monitoriza si evalua impactul
masurilor de politica publica în domeniul protectiei sociale într-o perioada de 10 luni;</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</si>
  <si>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conditionalitatilor ex-ante pentru Obiectivul Tematic 1 (OT1) al FESI, prevazute în cadrul Programului Operational
Competitivitate 2014-2020 prin realizarea mecanismului de orientare strategica, bazat pe descoperirerea antreprenoriala si
cresterea gradului de integrare a sistemului de CDI în economia nationala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</si>
  <si>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Obiectivul general al proiectului este crearea si dezvoltarea, la nivelul Asociatiei Comunelor din România, a unui mecanism alternativ functional, cu o abordare de jos în sus (bottom-up), de elaborare si monitorizare a politicilor publice ce vizeaza mediul rural din România, respectiv de consultare a membrilor privind politicile publice initiate de autoritatile si institutiile publice centrale - Platforma actiunilor comune transparente PACT - A.Co.R.</t>
  </si>
  <si>
    <t>Obiectivul general al proiectului se refera la adoptarea unei abordari moderne si inovatoare, axata pe facilitarea dezvoltarii socio-economice a tarii, prin intermediul unor servicii publice, investitii si reglementari de calitate.
Obiectivele specifice ale proiectului
1. OS.1. Simplificarea si sistematizarea fondului activ al legislatiei din domeniul resurselor minerale si societatilor cu capital de stat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2. OS.2. Elaborarea politicilor publice bazate pe dovezi prin:
- Implicarea stakeholderilor înca din etapele initiale ale procesului de formulare a politicilor publice si a reglementarilor;
- Promovarea strategiilor si politicilor adoptate prin intermediul unor campanii de comunicare;
- Crearea unui grup de experti la nivelul Ministerului Economiei.</t>
  </si>
  <si>
    <t xml:space="preserve">Obiectivul general al proiectului este consolidarea capacitatii institutionale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corelatie cu necesitatile mediului economic (A1, Rezultat de proiect 1: politica publica în domeniul de CDI  elaborata si aprobata;
2. implementarea unui cadru de lucru care sa sustina sistematizarea si simplificarea legislatiei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activitati de CDI, în scopul reducerii poverii administrative pentru mediul de afaceri si realizarea în cadrul MCI a unei proceduri simplificate privind recunoasterea activitatii de CDI din cadrul companiilor românesti,
4. dezvoltarea competentelor si abilitatilor profesionale ale personalului de conducere si executie din MCI  în cadrul unor module de instruire în urmatoarele domeniul: politici publice de CDI bazate pe dovezi, legislatia în domeniul cercetarii si reglementarile care vizeaza activitatile de CDI din mediul de afaceri românesc
</t>
  </si>
  <si>
    <t>Obiectivul general al proiectului/Scopul proiectului
Obiective proiect
Proiectul propus contribuie la dezvoltarea si introducerea de sisteme si standarde comune în administratia publica ce optimizeaza
procesele decizionale orientate catre cetateni si mediul de afaceri în concordanta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agentii economici din domeniul schimbarilor
climatice</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</si>
  <si>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legislatiei din domeniul apelor si realizarea unor proceduri simplificate pentru reducerea poverii
administrative pentru mediul de afaceri în domeniul silviculturii.
Obiectivele specifice ale proiectului
1. Implementarea unor sisteme unitare de management al calitatii si performantei la nivelul MAP.
Autoritati si institutii publice centrale care au implementat sistemele unitare de management al calitatii si performantei: 1 –
Ministerul Apelor si Padurilor (inclusiv structurile aflate în subordinea, sub autoritatea si în coordonarea ministerului)
Se vor elabora, revizui si implementa proceduri unitare pentru managementul calitatii în conformitate cu SR EN ISO 9001:2015 la
nivelul departamentelor din cadrul MAP si din cadrul structurilor aflate în subordinea, sub autoritatea si în coordonarea sa.
Se va implementa CAF, ca instrument al managementului calitatii complementar cu SR EN ISO 9001:2015.
De asemenea, sunt vizate activitati de promovare a sistemelor/instrumentelor de management al calitatii, cu accent pe valoarea
adaugata pe care acestea o pot genera, în vederea acordarii de sprijin pentru MAP (si autoritatilor aflate în subordinea, sub
autoritatea si în coordonarea ministerului).
2. Aplicarea sistemului de politici bazate pe dovezi în MAP prin realizarea unor politici publice în domeniul managementului apei si
domeniul silviculturii.
Autoritati si institutii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Autoritati si institutii publice centrale care au implementat masuri unitare de reducere a poverii administrative pentru mediul de
afaceri si pentru cetateni: 1 – Ministerul Apelor si Padurilor.
5. Competente crescute pentru personalul din MAP si din structurile aflate în subordinea, sub autoritatea sau în coordonarea sa, în
domeniul managementului calitatii, pentru sustinerea masurilor/actiunilor de sistematizare si simplificare a legislatiei în domeniul
managementului apei si pentru sustinerea masurilor/actiunilor de simplificare a procedurilor pentru mediul de afaceri în domeniul
silviculturii.
Personalul din autoritatile si institutiile publice centrale care a fost certificat la încetarea calitatii de participant la formare legata de
OS1.1.: 280 persoane.</t>
  </si>
  <si>
    <t>Obiectivul general urmarit prin proiect este acela de îmbunatatire a cunostintelor profesionale si abilitaților membrilor sistemului judiciar vizavi de acest proiect (judecatori, procurori, magistrați-asistenți si personal din cadrul instituțiilor sistemului judiciar asimilat judecatorilor si procurorilor), necesare desfasurarii activitatii în cadrul instantelor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institutiilor sistemului judiciar privind unificarea practicii judiciare.</t>
  </si>
  <si>
    <t xml:space="preserve">Obiectivul principal al proiectului este realizarea si implementarea unui sistem eficient si performant pentru „Consolidarea capacitații institutionale a Oficiului Național al Registrului Comerțului, a sistemului registrului comerțului si a sistemului de publicitate legala”.
</t>
  </si>
  <si>
    <t>Obiectivul general:
Cresterea capacitatii ONG-urilor de a se implica în formularea si promovarea de propuneri alternative la politicile publice initiate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responsabilitatii civice, de implicare a comunitatilor locale în viata publica si de participare la procesele
decizionale, de promovare a egalitatii de sanse, nediscriminarii si dezvoltarii durabile prin organizarea a 4 audieri publice
nationale pe marginea variantei consultative a celor 4 politici publice nationale in domeniul bugetarii pe baza de gen acceptate de
autoritatile responsabile.</t>
  </si>
  <si>
    <t>Cresterea capacitatii ONG-urilor de formulare de politici publice alternative în domeniile sanatate publica sau protectie sociala
Obiectivele specifice ale proiectului
1. Obiectiv specific 1. Elaborarea unui ghid de proceduri si instrumente pentru monitorizarea si evaluarea politicilor publice din
domeniul social sau medical
2. Obiectiv specific 2. Dezvoltarea cunostintelor si abilitatilor pentru 100 de persoane din cadrul ONG-urilor din domeniul domeniile
social sau medical în formularea de politici publice alternative si în monitorizarea independenta a politicilor guvernamentale
3. Obiectiv specific 3. Crearea unei retele informale de ONG-uri în domeniul politicilor publice sociale sau medicale
4. Obiectiv specific 4. Formularea de 5 propuneri de politici publice alternative în domeniul politicilor publice sociale sau medicale</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</si>
  <si>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cetateni si mediul ONG/parteneri sociali
</t>
  </si>
  <si>
    <t>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protectie,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protectie,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protectie,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</si>
  <si>
    <t>Obiectiv general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Obiective specifice                                                                                                                                                                                                                         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activitati în comun pe baza abilitatilor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viata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</si>
  <si>
    <t>Obiectivul general al proiectului/Scopul proiectului
Obiective proiect
Obiectivul general al proiectului este dezvoltarea capacitatii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national, pentru un numar de 50 de persoane.
3. OS 3 - Îmbunatațirea colaborarii si a dialogului dintre organizatiile non-guvernamentale si autoritațile publice, pentru dezvoltarea
capacitații acestora de a iniția parteneriate si de a colabora în procesul de elaborare a politicilor publice.</t>
  </si>
  <si>
    <t xml:space="preserve">Obiectivul general al proiectului:
Cresterea capacitatii ONG-urilor si a partenerilor sociali de a se implica în formularea si promovarea de propuneri alternative la politicile publice initiate de Guvern, în domeniul ocuparii tinerilor prin comunicare, colaborare si sprijin reciproc.
Obiectivele specifice ale proiectului:
1. Instruirea unui numar de 100 de persoane prin cursurile de Delegat Sindical- Cod COR 111411. Scopul instruirii este de a
consolidarea organizatiilor sindicale astfel încât acestea sa îsi îmbunatateasca capacitatea de a formula si promova propuneri de politici publice alternative la politicile publice initiate de Guvern în domeniu. Rolul cursului este de a creste interesul pentru recrutarea tinerilor în sindicate si pentru a le întelege mai bine nevoile.
2. Elaborarea unei Politici publice alternative la politicile publice initiate de Guvern în domeniul ocuparii tinerilor si al tranzitiei acestora de la scoala la viata active. Politica publica alternativa va încerca sa rezolve o serie de probleme identificate prin dezbateri si analiza asupra legislatiei în vigoare.
3. Realizarea unui mecanism de Monitorizare, dezvolatre de politici alternative la cele initiate de Guvern, colaborare, sustinere reciproca, Hub-ul Online al ONG-urilor si ai partenrilor sociali. Un rol important al acestei platforme este dezvoltarea responsabilitatii civice, de implicare a comunitatilor locale în viata publica si de participare la procesele decizionale, de promovare a egalitati de sanse si nediscriminarii, precum si a dezvoltarii durabile. Dezvolta capacitatea partenerilor sociali si a ONG prin activitati întreprinse în comun, participarea si dezvoltarea de retele tematice locale/nationale.
</t>
  </si>
  <si>
    <t xml:space="preserve">Obiectiv general: Dezvoltarea sectorului forestier în scopul cresterii contributiei acestuia la ridicarea nivelului calitatii vietii,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</si>
  <si>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cetatean si bazate pe dovezi, precum si alte tematici de interes aferente actiunilor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</si>
  <si>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privinta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transparente si integritati sporite la nivelul sistemului judiciar în vederea îmbunatatirii accesului si a calitatii serviciilor furnizate la nivelul acestuia, vizând atingerea obiectivelor POCA în materie.
Obiectivele specifice ale proiectului
1. 1.Obiectivul specific 1 (OS1) al Proiectului îl constituie realizarea unei campanii de informare, educație juridica si constientizare a cetatenilor, privind drepturile legislative ale acestora utilizând retelele de socializare si internetul.
2. 2.Obiectivul specific 2 (OS2) al Proiectului îl constituie realizarea unei campanii de informare, educație juridica si constientizare a cetatenilor,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cetatenilor, privind drepturile legislative ale acestora prin prezenta în teritoriu a unei echipe de Experti juridici ce vor facilita cetatenilor si, in special, elevilor si studentilor accesul la legislatie si justiție.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</si>
  <si>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capacitatii a 15 organizatii neguvernamentale si parteneri sociali de a se implica activ în formularea si promovarea unui set de propuneri de modificare a Legii 350/2005 privind regimul finantarilor nerambursabile din fonduri publice alocate pentru activitați nonprofit de interes general
2. OS.2 - Realizarea în mod participativ a unei propuneri de politica publica alternativa privind finantarea publica a activitaților nonprofit de intres general prin implicarea unui numar de 50 de reprezentanti ai organizatiilor neguvernamentale si partenerilor sociali împreuna cu 10 reprezentanti din autoritațile si instituțiile publice.</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</si>
  <si>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capacitatii institutionale a autoritatilor publice si a
partilor interesate si eficienta administratiei publice (OT 11) dar si a Obiectivelor specifice ale Axei prioritare 1,OS 1.1: Dezvoltarea si
introducerea de sisteme si standarde comune în administratia publica ce optimizeaza procesele decizionale orientate catre cetateni si
mediul de afaceri în concordanta cu SCAP precum si la realizarea obiectivelor si masurilor stabilite în cadrul Strategiei pentru
Consolidarea Administratiei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</si>
  <si>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 xml:space="preserve">
Obiective proiect
Proiectul este depus în cadrul Programului Operational Capacitatea Administrativa, Componenta 1 CP2/2017 - Cresterea capacita?ii
ONG-urilor si a partenerilor sociali de a formula politici publice alternative, Axa prioritara 1 Administratie publica si sistem judiciar eficiente,
Operatiunea Dezvoltarea si introducerea de sisteme si standarde comune în administra?ia publica ce optimizeaza procesele decizionale
orientate catre ceta?eni si mediul de afaceri în concordanta cu SCAP.
OG: Dezvoltarea capacitatii ONG-urilor de a formula si propune politici publice sensibile la egalitatea de gen si egalitatea de sanse prin
formarea a 160 de persoane din ONG-uri din domeniul egalitatii de sanse si de gen, drepturile omului si tineret, prin facilitarea accesului
acestora la cunostere privind inegalitatile de gen si privind mecanismele de dialog civic si sprijin pentru advocacy si prin desfasurarea unei
campanii de dialog civic si advocacy pentru politici privind egalitatea de gen la nivel national, la nivel national pe parcursul a 16 luni.
OG raspunde astfel problemelor identificate de parteneri în sectiunea „Justificare” si „Grup tinta”: 1/ deteriorarea continua a dialogului civic
si adoptarea politicilor publice fara consultare cu societatea civila si 2/ promovarea egalitatii de sanse între femei si barbati printr-o
abordare integratoare de gen în toate politicile publice initiate de Guvern.
Obiectivele specifice ale proiectului
1. OS1 Devoltarea capacitatii a 80 de ONG-uri de a formula si propune politici publice sensibile la egalitatea de gen si egalitatea de
sanse prin formarea a 160 de persoane din ONG si prin facilitarea accesului la mecanisme de dialog civic si sprijin pentru
advocacy, la nivel national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capacitatii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societatii civile în
consultarile publice si crestere calitatii interventiilor lor. Actiunile de mai sus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OS1 va fi atins prin implementarea SA1.1, SA1.2, SA2.1, SA2.2, SA2.3, SA5.1, SA7.1 si obtinerea rezultatelor de proiect R1, R3
si R4.
OS1 participa la atingerea IR 5S44-80, IR 5S45-160, ISR1.1-5, ISR2.1-1.
2. OS2 Consolidarea capacitatii a 11 ONG-uri din dom egalitatii de gen si de sanse pentru formularea si propunerea unei politici
publice alternative pentru egalitate de gen, prin cresterea accesului la cunostere privind inegalitatile de gen si desfasurarea unei
campanii de dialog civic si advocacy pentru politici privind egalitatea de gen la nivel national, pe parcursul a 16 luni.
Proiectul prevede realiz unei cercetari cantitative la nivel national (Barometrul de gen) privind perceptia românilor / româncelor cu
privire la egalitatea de gen. Concluziile cercetarii vor fi coroborate cu un studiu comparat România – tari ale UE asupra politicilor
publice aprobate sensibile la egalitatea de gen. Pe aceste informatii se va baza elaborarea propunerii alternative la politicile
publice sensibile la egalitatea de gen initiate de Guvern. La elaborarea / formularea, promovarea ei vor participa 11 ONG-uri care
activeaza în domeniul egalitatii de sanse si gen (cei 2 parteneri din proiect + alte 9 ONG-uri similar) ce vor delega 20 pers din
aparatul propriu pentru proiect (ref. cele 9 ONG-uri). La promovarea PPP vor participa si 30 pers delegate de autoritati publice
centrale relevante pentru egalitatea de gen. Campania de advocacy se va finaliza cu acceptarea PPP de catre o autoritate
relevanta. În etapele de elaborare, promovare, acceptare, se vor integra, respecta si promova principiile orizontale POCA si se
promova sursa de finantare si oportunitatile sale.
OS2 va fi atins prin SA3.1, SA3.2, SA4.1, SA4.2, SA4.3, SA5.1, SA7.1 si obtinerea rezultatelor de proiect R2, R3 si R4.
OS2 part la IR 5S6-11, ISR2.2-50, ISR2.3-1.</t>
  </si>
  <si>
    <t>Obiectivul general al proiectului este: Cresterea eficientei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capacitatii ONG-urilor si partenerilor sociali de a identifica în mod adecvat si pertinent nevoile de dezvoltare
regionala, obstacolele existente si solutiile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capacitatii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co-interesati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</si>
  <si>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tinta, în vederea dezvoltarii si introducerii de sisteme si
standarde comune pentru asigurarea unei educatii de calitate în învatamântul preuniversitar particular din România, în concordanta cu
SCAP</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</si>
  <si>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autoritati a 32 de reprezentanti ai ONG-urilor rome de la nivel national în termen de 16 luni
2. OS2. Dezvoltarea si promovarea de politica publica alternativa în domeniul Strategia de îmbunatatire a situatiei romilor de
reprezentanti ai 16 ONG-uri rome in termen de 16 luni</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</si>
  <si>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initiate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</si>
  <si>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Obiectivul general al proiectului este imbunatatirea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administratia publica ce optimizeaza procesele decizionale orientate catre cetateni si mediul de afaceri în
concordanta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directii propuse de proiect se desprind din documentul Strategia Europa 2020, ce reprezinta esenta politicii de
dezvoltare europena, agreata la nivel UE, si pe care România si-a asumat-o.</t>
  </si>
  <si>
    <t xml:space="preserve">
Obiectivul general al proiectului:
Optimizarea si eficientizarea actului administrativ, legislativ si decizional în administratia centrala si serviciile sale deconcentrate în domeniul patrimoniului cultural national
Obiectivele specifice ale proiectului:
1. Sistematizarea si simplificarea fondului legislativ activ din domeniul patrimoniului cultural national
2. Crearea cadrului strategic si operational pentru realizarea de politici bazate pe dovezi în domeniul patrimoniului imobil</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</si>
  <si>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solutionare a litigiilor (pentru dezvoltarea si diversificarea paletei de servicii de consiliere si asistenta juridica adecvate nevoilor cetatenilor), garantarea accesului la justiție, promovarea birourilor/serviciilor de consiliere juridica si informare a cetatenilor, accesibile înainte de a apela la  instanța, promovarea activitatii acestora, actiuni precum organizarea de campanii de informare, educatie juridica si
constientizare a populatiei, în special a grupurilor vulnerabile, cu privire la dreptul la asistenta judiciara si modalitatile concrete de
accesare a acestor servicii.
Obiectivele specifice ale proiectului:
1 Cresterea accesului la justitie al cetațenilor prin derularea de campanii de informare, educatie juridica si constientizare cu privire la promovarea si consolidarea metodelor alternative de solutionare a litigiilor (medierea, arbitrajul etc.) si la prevederile noilor coduri, drepturile cetatenilor, promovarea informatiilor privind institutiile din sistemul judiciar si serviciile oferite de acestea.
• Cresterea gradului de informare, educatie juridica si constientizare cu privire la prevederile noilor coduri, drepturile cetațenilor, promovarea informatiilor privind institutiile din sistemul judiciar si serviciile oferite de acestea
 2 Cresterea accesului la justitie prin asistenta juridica pusa pentru 240 de persoane.
3 Cresterea gradului de consolidare a metodelor alternative de solutionare a litigiilor prin actiuni de formare a 75 de practicieni ai dreptului.
</t>
  </si>
  <si>
    <t>Obiectivul general consta in dezvoltarea capacitatii ONG-urilor de a dezvolta politici publice alternative, în vederea optimizarii proceselor decizionale ale administratieipublice, orientate catre cetateni si mediul de afaceri. Obiective specifice: 1) Cresterea capacitatii de a dezvolta politici publice alternative pentru cele 5 ONG-uri (1 solicitant si 4 parteneri); 2)Dezvoltarea abilitatilor pentru cel putin 15 persoane (reprezentanti ONG) în realizarea de campanii de advocacy si dezvoltarea de politici publice alternative, pâna la finalul implementarii proiectului; 3) Dezvoltarea de politici publice alternatve în domeniul evaluarii si gestionarii calitatii aerului pâna la finalul implementarii proiectului.</t>
  </si>
  <si>
    <t>Obiectivul general al proiectului este corelat cu ,,OS 1.1 POCA : Dezvoltarea si introducerea de sisteme si standarde comune în
administratia publica ce optimizeaza procesele decizionale orientate catre cetateni si mediul de afaceri în concordanta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</si>
  <si>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Obiectivul general al proiectului consta în îmbunatatirea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directiile de actiune aflate în sarcina ANI conform Strategiei Nationale Anticoruptie 2016-2020 (SNA), actiuni de punere în practica a obiectivului specific 5.2 al SNA: „Îmbunatatirea activitatii de identificare, sanctionare si de prevenire a cazurilor de bincompatibilitati, conflicte de interese si averi nejustificate” si care contribuie de asemenea si la atingerea benchmark-ului nr. 2 al Mecanismului de Cooperare si verificare.</t>
  </si>
  <si>
    <t>Obiectivul general al proiectului este de a sprijini ONG-urile participante pentru a formula si promova propuneri alternative la politicile
publice initiate de Guvern, în concordanta cu masurile stabilite în Strategia pentru Consolidarea Administratiei Publice 2014-2020 (SCAP),
prin obiectivul general II: Implementarea unui management performant în administratia publica, obiectivul specific II.1: Cresterea
coerentei, eficientei, predictibilitatii si transparentei procesului decizional în administratia publica, obiectivul specific subsecvent II.1.6.
Dezvoltarea capacitatii societatii civile, mediului academic si altor parteneri sociali relevanti (sindicate, patronate etc.) de a sustine si
promova reforma administratiei publice.</t>
  </si>
  <si>
    <t>Obiectivul general al proiectului este cresterea capacitatii organizatiilor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</si>
  <si>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Nationala de Sanatate 2014 – 2020”.</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</si>
  <si>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dispozitiilor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</si>
  <si>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Obiectivul general al proiectului consta în dezvoltarea capacitatii organizatiilor neguvernamentale de a formula si promova propuneri alternative la politicile publice initiate de Guvern si promovarea unor mecanisme care sa consolideze consultarea, trasparenta si standardizarea în administratia publica centrala.</t>
  </si>
  <si>
    <t>Obiectivul general:Cresterea capacitatii de dezvoltare strategica si de implicare a organizatiilor neguvernamentale, care activeaza în domeniul domeniu securitatii nationale, atât în regiunea mai dezvoltata (B-Il), cât si în cele 7 regiunile mai putin dezvoltate ale României, în a formula si promova propuneri alternative cu impact national, la politicile publice în aria cheie securitate, realizarea sarcinilor privind apararea nationala în conditiile unui razboi simetric, asimetric ori hibrid prin implicarea sporita a rezervistilor voluntari, protectia infrastructurii criticestrategice teritoriale si realizarea cooperarii cu autoritati/institutii publice pentru optimizarea proceselor decizionale orientate catre cetateni,în concordanta cu politicile si strategiile majore privind dezvoltarea României în viitorii ani si cu SCAP.                                                                                                                                    O1 - Dezvoltarea abilitatilor si competentelor practice a cel putin 100 reprezentanti ai ONG-urilor cu focus pe educatie si
securitate, în sprijinul interesului national, implicarea profesionala în dialogul social si în procesul decizional, pe diferite niveluri ierarhice, în domeniul asigurarii apararii nationale, protectiei infrastructurilor critice teritoriale si rezilientei acestora, cresteriicapacitatii de analiza si prognoza în plan socio-economic. Raspunde indicatorilor de realizare 5S44 si 5S45. 
 O2 - Facilitarea generarii si promovarea de catre ONG-uri cu focus pe educatie si securitate a unor propuneri alternative la
politicile publice, în aria cheie a realizarii apararii securitatii nationale si securitatii cibernetice, alaturi de alte forte ale sistemului national de aparare, în parteneriat cu autoritati/institutii publice, prin oferirea unui suport integrat.
3. OS3 - Gasirea de solutii alternative si complementare pentru generarea resursei umane specializate pentru situatii de dezastre naturale si antropice, pentru situatii care tin de securitatea nationala si de securitatea cibernetica.</t>
  </si>
  <si>
    <t>Obiectivul general al proiectului
Formulare si promovarea unui set de politici publice alternative în scopul cresterii competitivitatii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</si>
  <si>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Obiectiv general: Consolidarea capacitatii structurilor neguvernamentale de/pentru tineret si a autoritatilor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autoritatii publice centrale cu atributii în domeniul tineretului, prin formarea si exersarea competentelor acestora  pentru mai buna participare a acestor actori, la elaborarea si implementarea politicilor publice în domeniul tineretului, inclusiv a celor alternative</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</si>
  <si>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populatiei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</si>
  <si>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capacitatii Asociatiei CEDO in vederea formularii si promovarii unei propuneri alternative la politicile publice initiate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administratiei publice si de interactiune cu autoritatile si institutiile administratiei publice si dezvoltarea unui dialog social eficient, pe parcursul celor 16 luni de proiect;
OS5 - Sensibilizarea autoritatilor publice si responsabilizarea partenerilor sociali si ONG-urilor in vederea implicarii, pe toata
durata proiectului, in sustinerea si promovarea initiativelor de reforma a administratiei publice si acceptarea politicii publice
alternative formulate in proiect, prin derularea unei campanii de comunicare integrata la nivel national.</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</si>
  <si>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transparentei informatiilor referitoare la proiect si la rezultatele acestuia precum si stabilirea unui sistem eficient de comunicare interna între toate partile interesate implicate în gestionarea proiectului.
</t>
  </si>
  <si>
    <t xml:space="preserve">Ob. General al proiectului este „Dezvoltarea capacitatii Asocitiei Teatrul Vienez pentru Copii si a altor ONG-uri cu activitate în domeniul educatiei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</si>
  <si>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Obiectivul general al proiectului consta în consolidarea capacitatii Societatii Nationale de Cruce Rosie Filiala Dâmbovita de a formula si promova o alternativa cu impact national, la politica publica initiata de Guvern în domeniul prevenirii parasirii timpurii a scolii si în concordanta cu Strategia de Consolidare a Administratiei publice.
Obiective specifice:
Os.1. Cresterea capacitatii de elaborare participativa a instrumentelor de evaluare a politicilor publice prin consolidarea dialogului social si civic;
Os.2. Dezvoltarea capacitatii de promovare a initiativelor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comunitatilor prin promovarea alternativei la politica publica
Os.6. Sprijinirea societatii civile si responsabilizarea actorilor importanti în vederea încurajarii participarii copiilor la învatamântul obligatoriu.</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</si>
  <si>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populatiei printr-un numar de interventii strategic alese, pentru prevenirea si reducerea consecintelor unei situatii de risc; cresterea accesului la informatia de calitate, inclusiv în mediul online
</t>
  </si>
  <si>
    <t>Obiectivul general al proiectului este cresterea capacitatii a 20 de ONG-uri cu activitate relevanta în domeniul sanatatii la nivel national si a partenerilor sociali (organizatii sindicale), atât din regiunea mai dezvoltata (Bucuresti-Ilfov), cât si din regiunile mai putin dezvoltate pentru a formula si promova propuneri alternative la politicile publice de sanatate initiate de Guvern.</t>
  </si>
  <si>
    <t>Scopul proiectului este acela de a crea mecanisme si instrumente functionale care sa conduca la cresterea calitatii procesului decizional la nivelul administratiei publice locale, pentru a raspunde în mod fundamentat si coerent nevoilor comunitatilor locale, concomitent cu dezvoltarea capacitatii societatii societatii civile si a partenerilor sociali de la nivel local de a se implica activ în elaborarea de politici publice viabile la nivel national si local.
Obiective specifice:
1.Cresterea calitatii procesului de fundamentare a deciziei la nivelul autoritatilor administratiei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capacitatii organizatiilor neguvernamentale locale si a partenerilor sociali/grupurilor de initiativa de la nivelul municipiilor României/a sectoarelor municipiului Bucuresti de a se implica în promovarea si formularea de propuneri alternative la politicile publice initiate de autoritatile publice de la toate nivelurile.
3. Cresterea nivelului de cunoastere si informare la nivelul administratiei publice locale municipale privind initierea de politici publice ce folosesc mecanisme de optimizare a proceselor decizionale, orientate catre cetateni si mediul de afaceri local, în concordanța cu Strategia pentru Consolidarea Administrației Publice.</t>
  </si>
  <si>
    <t>Obiectivul general al proiectului il reprezinta cresterea capacitatii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initiate de Guvern în domeniul proiectarii cladirilor de locuit de tip nZeb, prin instruirea unui numar de 75 de persoane în domeniul specific proiectului dar si în domeniul comunicarii specifice ONG-urilor.
OS5: Elaborarea unei Politici publice alternative la politicile publice initiate de Guvern în domeniul locuirii durabile si combatere a saraciei energetice, prin promovarea gratuita, de catre primarii, de solutii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</si>
  <si>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Obiectivul General:
Optimizarea procesului de reforma educationala în vederea asigurarii accesului egal la educatie pentru minoritatile etnice din România prin implicarea activa si cresterea capacitatii a 40 de ONG-uri si parteneri sociali de a formula si propune politici publice în educatie cu integrarea egalitatii de sanse si nediscriminarii etnice pe toate paliere, prin instruirea a 120 de persoane din ONG-uri si parteneri sociali ce activeaza în domeniul egalitatii de sanse si nediscriminarii, educatie, tineret, voluntariat si facilitarea accesului acestora
la un mecanism de dialog civic pentru alerta a discriminarii etnice în educatie, prin desfasurarea unei campanii de dialog civic si advocacy pentru formularea, promovarea si acceptarea unei propuneri alternative de politici publice privind combaterea discriminarii etnice în educatie, la nivel national pe parcursul a 16 luni.
Obiective specifice:
OS1. Cresterea capacitatii a 40 de ONG-uri si parteneri sociali care activeaza în domeniul egalitatii de sanse si nediscriminare, educatiei, tineret si voluntariat de a se implica în formularea si promovarea de propuneri alternative la politicile publice initiate de Guvern în educatie prin dezvoltarea si livrarea catre 120 pers din cele 40 org vizate a doua traininguri si facilitarea accesului la mecansimul de dialog civic pentru alerta de discriminare etnica în învatamânt, timp de 16 luni.
OS2. Formularea, promovarea si acceptarea de catre autoritatile publice centrale relevante din domeniul educatiei a unei propuneri alternative de politica publica privind accesul egal la educatie pentru minoritatile etnice din România de catre 7 ONG-uri si parteneri sociali alaturi de o institutie de învatamânt superior multi-etnica, timp de 16 luni.
OS3. Cresterea dimensiunii participative a ONG-urilor, partenerilor sociali si mediului academic în integrarea principiului egalitatii de sanse în educatie prin dezvoltarea unui mecanism de alerta a discriminarii etnice în învatamânt, timp de 16 luni.</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</si>
  <si>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informatiilor în scopul monitorizarii politicilor si practicilor de resurse umane si a identificarii independente a unor modalitati alternative de raspuns
3. Facilitarea procesului de formulare de politici alternative la nivelul reprezentantilor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</si>
  <si>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Obiectivul general al proiectului este cresterea capacitatii Federatiei Zonelor Metropolitane si Aglomerarilor Urbane din România (FZMAUR), a ADI-urilor membre ale acesteia (13 ONG-uri) precum si a Asociatiei pentru Mobilitate Metropolitana (AMM) de a formula si promova propuneri alternative la politicile publice initiate de Guvern în domeniul transportului public local si metropolitan de calatori din România.
Obiectivele specifice:
A) Analiza situatiei existente a transportului public local si metropolitan de calatori la nivelul a 20 de poli de crestere/poli de dezvoltare urbana/municipii resedinta de judet. Studiul va fi realizat de catre partenerul Asociatia pentru Mobilitate Metropolitana, având în vedere experienta acestuia în domeniu si va prezenta starea actuala a serviciului de transport public local si metropolitan de calatori si a problemelor existente în cadrul a 20 de localitati relevante, constituind un punct de pornire pentru elaborarea politicii publice alternative în domeniu.
B) Instruirea grupului tinta în domeniul management în transporturi. Scopul instruirii grupului tinta format dintr-un numar de 40 de persoane, care au atributii, direct sau indirect, în domeniul transportului public local si/sau metropolitan de calatori, este de a le creste competentele în planificarea/gestionarea/monitorizarea serviciului public de transport local si metropolitan de calatori si de a-si îmbunatati capacitatea de a formula si promova propuneri de politici publice alternative la politicile publice initiate de Guvernul României în domeniu.
C) Elaborarea unei Politici publice alternative la politicile publice initiate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</si>
  <si>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Obiectiv general: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Obiective specifice: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retele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</si>
  <si>
    <t>Obiectivul general al proiectului este îmbunatatirea capacitatii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actiunilor si masurilor implementate in domeniul energetic.</t>
  </si>
  <si>
    <t>Obiectivul general al proiectului îl reprezinta consolidarea capacitații Agentiei Nationale de Administrare Fiscala de a sustine initiativele de modernizare, prin introducerea de servicii publice electronice ce optimizeaza procesele decizionale orientate catre mediul de afaceri, inclusiv prin implementarea unui fisier standard international de audit pentru toti operatorii economici.
Obiectivele specifice ale proiectului
1. Analiza activitatilor ANAF, precum si însusirea bunelor practici în materie de administrare fiscala
2. Implementarea Fisierului Standard de Audit (SAF-T) reprezentând o structura standardizata a informatiilor relevante pentru
controalele fiscale în vederea reducerii costului conformarii pentru societați
3. Formularea de propuneri de amendare a legislatiei primare si secundare privind obligatia contribuabilului de a depune Fisierul Standard de Audit
4. Îmbunatatirea cunostintelor si abilitatilor personalului din cadrul A.N.A.F. privind utilizarea aplicatiei informatice si a metodologiei specifice.</t>
  </si>
  <si>
    <t>Obiectiv general: Optimizarea si cresterea calitatii serviciilor oferite de administratia publica din domeniul educatiei prin crearea unui cadru normativ predictibil si stabil si prin dezvoltarea unei politici publice bazata pe orientarile strategice în invatamântul preuniversitar si universitar la orizontul 2030.                                                                                                                                                         1. Realizarea analizei de sistem a actelor normative din învatamântul preuniversitar si universitar pentru cresterea calitatii
reglementarilor si optimizarea proceselor decizionale prin fundamentarea acestora.
2. Realizarea unei politici publice la orizontul 2030 în domeniul educatiei pentru implementarea unui cadru strategic unitar.3. 3. Sistematizarea, simplificarea si eficientizarea a 5 acte normative din domeniul educatiei, învatamânt preuniversitar si universitar pentru dezvoltarea unui cadru normativ predictibil si stabil în administratia publica din domeniul educatiei
4. Elaborarea studiului de impact ex –ante privind implementarea cadrului strategic propus pentru evaluarea impactului asupra societatii si a bugetului si cresterea calitatii reglementarilor.
5. Dezvoltarea competentelor a 77 de angajati ai ministerului educatiei pentru îmbunatatirea proceselor din administratia publica.</t>
  </si>
  <si>
    <t>1. Elaborarea Strategiei nationale privind drepturile persoanelor cu dizabilitati, 2021-2027, care sa asigure implementarea CDPD (numita în continuare Strategia 2021-2027), cu obiective/tinte specifice cu indicatori masurabili.
2. Dezvoltarea unui mecanism functional de monitorizare a implementarii Strategiei 2021-2027 prin obtinerea de dovezi privind modul în care drepturile persoanelor cu dizabilitati sunt respectate.</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</si>
  <si>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cetatenilor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cetatenilor si dezvoltarea culturii juridice.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</si>
  <si>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retelelor si identificarea de masuri de sprijin în vederea încurajarii adoptarii serviciilor în banda larga, condiție esențiala pentru adoptarea e-guvernarii.
OS1. Îmbunatațirea capacitații MCSI de a interveni pe piata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</si>
  <si>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Consolidarea capacitatii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angajatilor Ministerului Economiei în domeniul politicilor publice</t>
  </si>
  <si>
    <t>Obiectivul general: Dezvoltarea capacitatii administrative a MMJS si ANES de a fundamenta pe dovezi politicile publice din aria de responsabilitate, respectiv a cadrului strategic national privind incluziunea sociala si reducerea saraciei post 2020 si a cadrului strategic national pentru egalitatea de gen post 2020, conform cerintelor stabilite de Comisia Europeana, în vederea îndeplinirii conditiilor favorizante esentiale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conditiilor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</si>
  <si>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Obiectivul general: Consolidarea capacitati anticipatorii de elaborare a politicilor publice bazate pe dovezi în domeniul                                     Obiectivele specifice ale proiectului
1. Elaborarea cadrului Strategic National de Cercetare, Dezvoltare si Inovare 2021-2027, incluzând sinergiile cu Strategia Nationala
de Specializare Inteligenta
2. Elaborarea cadrului Strategic National de Specializare Inteligenta
3. Îmbunatatirea politicilor publice si cresterea calitatii reglementarilor în domeniul antreprenoriatului inovativ
4. Revizuirea legislatiei în domeniul CDI, asociat cadrului strategic dezvoltat
5. Implementarea unui sistem de managementul calitatii la nivelul MCI
6. Dezvoltarea competentelor membrilor grupului tinta si actorilor implicati în activitatile proiectului si în implementarea cadrului
strategic dezvoltat (SNCDI, SNSI)</t>
  </si>
  <si>
    <t>Obiectivul general: Consolidarea capacitatii de planificare strategica si operationala a Ministerului Dezvoltarii Regionale si Administrației Publice în vederea
îndeplinirii obligațiilor europene privind eficiența energetica în cladiri si a eficientizarii actiunilor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</si>
  <si>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cetateni si mediul de afaceri în concordanta cu SCAP
Obiectivele specifice:
1. OBS 1. Crearea unui cadru specific privind stabilirea si implementarea actiunilor necesare consolidarii cadrului legislative in
domeniul sanatatii avand la baza imbunatatirea politicilor publice si cresterea calitatii reglementarilor in domeniul sanatatii
2. OBS 2. Crearea unui set de reglementari legislative care sa conduca la simplificarea procedurilor administrative si reducerea
birocratiei in domeniul sanatatii, proceduri care afecteaza atat cetateni precum si mediul de afaceri.
3. OBS 3. Dezvoltarea abilitatilor si cunostintelor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</si>
  <si>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aplicatii integrate software.
3. Dezvoltarea competentelor angajatilor Oficiului de Stat pentru Inventii si Marci si ai Ministerului Economiei in domeniul politicilor
publice.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</si>
  <si>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constructii în toate domeniile specifice si la îmbunatațirea calitații si eficienței serviciilor publice oferite de catre ISC.
2. Extinderea sistemului informatic integrat de management existent.
3. Dezvoltarea competentelor angajatilor Inspectoratului de Stat în Construcții în domeniul politicilor publice</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</si>
  <si>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tinta.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</si>
  <si>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Nattonale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</si>
  <si>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Obiectivul general al proiectului este acela de a creste capacitatea administrativa a autoritatilor administratiei publice centrale si locale cu atributii în domeniul protecției copilului, prin introducerea de instrumente si standarde comune, în vederea optimizarii procesului decizional de asigurare a tranzitiei de la îngrijirea în instituții la îngrijirea în comunitate.                                                                                                                         1. Dezvoltarea si aplicarea unui sistem de politici bazate pe dovezi în domeniul protectiei copilului, prin implementarea la nivel
national a unui sistem de monitorizare si evaluare periodica a stadiului tranzitiei de la îngrijirea în institutii la îngrijirea în comunitate.
2. Sprijinirea dezvoltarii autoritatilor administratiei publice locale cu atributii în domeniul prevenirii separarii copilului de familie în
vederea cresterii calitatii serviciilor oferite copiilor expusi riscului de separare de familie.</t>
  </si>
  <si>
    <t>Obiectivul general al proiectului consta în cresterea capacitatii administrative la nivelul Ministerului Energiei prin dezvoltarea si
implementarea unui sistem unitar de management al calitatii si performantei – Standardul ISO 9001: 2015 si instrumentul CAF, inclusiv
dezvoltarea componentelor sistemului de management al Ministerului Energiei, astfel încât acesta sa faca fata principiilor si cerintelor SR
RO ISO 9001:2015, precum si îmbunatatirea competentelor personalului în desfasurarea activitatilor specifice managementului calitatii.</t>
  </si>
  <si>
    <t>1. Elaborarea si/sau reactualizarea procedurilor si metodologiilor privind planificarea strategica legata de conformarea cu cerintele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obligatiilor si responsabilitatilor legate de colectarea
si epurarea apelor uzate urbane
3. Reactualizarea Planului de implementare al Directivei 91/271/CEE privind epurarea apelor uzate urbane prin luarea în
considerare a modificarilor în marimea si distributia populatiei echivalente care a avut loc în perioada 2004-2017.
4. Elaborarea unei Strategii nationale privind alimentarea cu apa, colectarea si epurarea apelor uzate urbane si revizuirea
reglementarilor în vederea cresterii eficientei în aplicarea legislatiei specifice, a reducerii costurilor de implementare si a realizarii
unei sinergii cu implementarea altor directive din domeniul apei respectiv Directiva Nitrati, Directivei Cadru Apa si Directiva
Cadru Strategia Marina.
5. Dezvoltarea si implementarea, la nivelul Administratiei Nationale ”Apele Române”, a unui sistem si a procedurilor si mecanismelor
pentru coordonarea si consultarea cu factorii interesati privind implementarea, monitorizarea si evaluarea politicilor si strategiilor
din domeniul alimentarii cu apa, canalizarii si epurarii apelor uzate urbane.
6. Dezvoltarea abilitatilor si competentelor personalului din cadrul Ministerului Apelor si Padurilor si al Administratiei Nationale
”Apele Române” în vederea coordonarii interinstitutionale si eficientizarea proceselor, masurilor, actiunilor stabilite pentru
îmbunatatirea alimentarii cu apa, canalizarii si epurarii apelor uzate</t>
  </si>
  <si>
    <t>Obiectivul general al proiectului este legat de întarirea capacitatii actorilor implicati în procesul de formulare a propunerilor de politici
publice, bazate pe dovezi, în domeniul formarii profesionale pentru administratia publica.
Obiective specifice:
OS1 - Cresterea capacitatii institutionale prin: realizarea unei analize/cercetari cu privire la nevoile de formare pentru personalul din administratia publica si cu privire la piata de formare pentru administraTia publica;
OS2 - Promovarea bunelor practici în administratia publica si încurajarea schimbului de experienta si a networkingului
prin: crearea si operationalizarea Retelei Nationale a Furnizorilor de Formare pentru Administratia Publica (ReForm);crearea
unei baze de date cu furnizorii de formare pentru administratia publica;organizarea de evenimente în cadrul retelei.
OS3 - Dezvoltarea de competente profesionale/ 100 participanti la activitati formare pt OS1.1.</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</si>
  <si>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obligatiile prevazute de legislatie în ceea ce priveste serviciile
sociale, precum si de a dezvolta si implementa initiative care vizeaza furnizarea de servicii comunitare integrate în comunitate la un înalt nivel calitativ si cu mijloace moderne</t>
  </si>
  <si>
    <t>Obiectiv general: Dezvoltarea unui sistem coerent de gestiune printr-un sistem informatic integrat, introducerea de sisteme si standarde comune în administratia publica ce optimizeaza procesele decizionale orientate catre cetateni si mediul de afaceri, în concordanta cu SCAP.            OS.1. Simplificarea si sistematizarea fondului activ al legislatiei din domeniul de activitate al ANRSC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OS2. Imbunatatirea nivelului de pregatire prin acumularea de cunostinte si abilitati ale personalului A.N.R.S.C, participarea la
activitati de formare</t>
  </si>
  <si>
    <t>Obiectivul general al proiectului este acela de a îmbunatati capacitatea Ministerului Mediului în gestionarea situatiilor de urgenta generate
de tipurile de risc specifice ministerului si a tipurilor de risc unde ministerul asigura functia de sprijin, precum si a situatiilor privind starea
mediului.
Obiectivele specifice ale proiectului
1. Elaborarea unor pachete de propuneri pentru eficientizare administrativa, sistematizare si simplificare legislativa privind
gestionarea situatiilor de urgenta generate de tipurile de risc specifice Ministerului Me-diului si a tipurilor de risc unde ministerul
asigura functia de sprijin, precum si a situatiilor privind starea mediului (poluarile accidentale, radioactivitate si calitatii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functia de sprijin, precum si a situatiilor privind starea mediului.
3. Utilizarea optima a sistemului informatic dezvoltat în cadrul proiectului prin instruirea grupului tinta si prin diseminarea
informatiilor catre alte institutii.</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</si>
  <si>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nationale (policy lab) si prin întarirea capacitații de management strategic la nivelul ministerelor.
Obiectivele specifice ale proiectului
1. Cresterea calitații coordonarii, elaborarii si implementarii documentelor strategice/ întarirea functiei de management strategic la
nivelul SGG;
2. Dezvoltarea de noi instrumente pentru întarirea functiilor de management strategic la nivelul SGG.
3. Diagnosticarea capacitatii de management strategic la nivelul ministerelor;
4. Dezvoltatea capacitatii a trei ministere de a elabora documente strategice
5. Elaborarea a trei strategii naționale intersectoriale</t>
  </si>
  <si>
    <t>Sprijinirea fundamentarii politicii investitionale, a formularii prioritatilor de investitii în vederea identificarii unor obiective/proiecte relevante.
Obiectivele specifice ale proiectului
1. cresterea gradului de coerenta si complementaritate a proiectelor de investitii de la nivel local si regional
2. proiectarea unei politici investitionale coerente
3. identificare rapida a nevoilor de investitii si de asigurare a coordonarii interinstitutionale</t>
  </si>
  <si>
    <t>Obiectivul general al proiectului este acela de a îmbunatati calitatea reglementarilor elaborate de institutiile administratiei publice centrale.
Obiectivele specifice ale proiectului vizeaza:
Dezvoltarea mecanismului de control al calitatii reglementarilor si a procedurilor operationale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</si>
  <si>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Obiectivul general al proiectului este sa sprijine cele 9 ministere de resort în elaborarea PSI si în corelarea acestora cu bugetul pe programe. Astfel, se va contribui la îmbunatațirea procesului decizional si la cresterea calitatii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instante ale aplicatiei la nivelul celor 9 ministere de resort si conectarea acestora la dashboard-ului de la nivelul SGG, care nu sunt conectate la acest sistem în prezent.
3. Formarea personalului de la nivelul celor 9 ministere de resort în domeniul planificarii strategice si în utilizarea aplicatiei IT de monitorizare a PSI.</t>
  </si>
  <si>
    <t>Consolidarea capacitații institutionale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</si>
  <si>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îmbunatatirea unui sistem de politici publice bazate pe dovezi în cadrul M.A.D.R. si a structurilor acesteia, crearea mecanismelor institutionale, administrative si procedurale, inclusiv sistematizarea legislatiei actuale cu accent pe cea aferenta zonei montane din România si formularea unui plan etapizat de propuneri pentru îmbunatatirea si simplificare a acesteia 2. Elaborarea unor proceduri de lucru eficiente si prietenoase cu mediul de afaceri si cetatenii, în concordanta cu specificitatile geografice, economice, sociale si culturale.
3. Instruirea grupului tinta pentru aplicarea acestora si diseminarea informatiilor în cadrul comunitatilor locale (mediul de afaceri si
cetateni).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</si>
  <si>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situatiilor de criza de piata sau epizootice, promovarea produselor agroalimentare si cuantificarea risipei alimentare) bazate pe
dovezi, crearea mecanismelor institutionale, administrative si procedurale, inclusiv sistematizarea legislatiei actuale si formularea
unui plan etapizat de propuneri pentru îmbunatatirea,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piata interna precum si pe noi piete, etc) - SIIMM
3. Instruirea grupului tinta atât pentru aplicarea propunerilor de politici publice cât si pentru utilizarea sistemului informatic si ulterior
diseminarea informatiilor catre mediul de afaceri si cetateni.</t>
  </si>
  <si>
    <t>Modernizarea si sistematizarea cadrului legal, a instrumentelor de colectare a datelor si a metodelor de gestiune integrata a proceselor
statistice pentru consolidarea capacitatii INS în pregatirea, organizarea si realizarea recensamintelor nationale (din perioada 2020-2021 si
ulterior) si elaborarea statisticilor oficiale ce sustin politicile publice si procesul decizional.
Obiectivele specifice ale proiectului
1. revizuirea si elaborarea în perioada 2019-2022 a 8 acte normative (legislatie primara si secundara) la nivelul cerintelor proceselor
statistice actuale pentru functionarea Sistemului Statistic National (SSN) si productia de statistici oficiale, precum si privind Recensamântul General Agricol 2020 (RGA2020) si Recensamântul Populatiei si Locuintelor 2021 (RPL2021) si testarea preliminara a instrumentelor de colectare si prelucrare a datelor conform noilor prevederi legale;
2. introducerea în perioada 2019-2022 a instrumentelor moderne de colectare a datelor primare pentru productia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Activitati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National - SDSSN 2021-2027);
4. asigurarea necesarului de cunostinte si competente în perioada 2019-2022 pentru personalul implicat în productia statisticilor oficiale, a realizarii recensamintelor nationale si a proceselor de planificare pe termen lung si operationala a statisticii oficiale (10 programe de instruire, pentru 675 de participanti)</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</si>
  <si>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finantare, prin implementarea propunerilor ce vizeaza programele de finantare de la nivel national si
investitiile de la nivel local;
OS4 - Îmbunatatirea guvernantei centrale si locale prin optimizarea proceselor decizionale de la nivelul MDRAP si de la nivelul
autoritatilor publice locale pentru utilizarea eficienta a fondurilor publice în programe si proiecte de dezvoltare urbana.</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</si>
  <si>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eficientei serviciilor oferite de structurile din cadrul MFE prin implementarea si certificarea SR EN ISO 9001:2015 si a unor aplicații informatice suport pentru managementul calității.
</t>
  </si>
  <si>
    <t>1. OS1. Optimizarea si simplificarea proceselor operationale de asigurare a respectarii normelor în materie de integritate la nivelul
ANI prin digitalizarea fluxurilor de lucru din cadrul institutiei.
2. OS2. Îmbunatatirea abilitatilor si cunostintelor personalului ANI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79 de
persoane din cadrul grupului tinta, în ceea ce priveste sustinerea masurilor implementate prin proiect.</t>
  </si>
  <si>
    <t>1. Identificarea si dezvoltarea mecanismelor necesare pentru reducerea duratei proceselor, îmbunatatirea ratei de solutionare a
cauzelor, scaderea duratei de solutionare a cauzelor;
2. Dezvoltarea si implementarea unor instrumente standard de management integrat, pentru a fi introduse la nivelul instantelor, care
sa permita îmbunatatirea practicilor manageriale, sa asigure predictibilitatea în luarea deciziilor ce privesc buna functionare a
instantelor si, totodata, sa permita adaptarea solutiilor manageriale la specificul fiecarei instante.</t>
  </si>
  <si>
    <t>1. Asigurarea cadrului optim pentru repartizarea competentelor între administratia publica centrala si administratia publica locala si
exercitarea lor sustenabila si în mod special a actiunii.2. Cresterea coerentei, eficientei, predictibilitatii si transparentei procesului decizional în administratia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cerintele operationale identificate. 4. Îmbunatatirea proceselor interne la nivelul institutiilor publice prin cresterea calitatii proceselor de monitorizare si evaluare a politicilor publice guvernamentale. 5. Dezvoltarea de mecanisme de monitorizare si evaluare a serviciilor publice. 6. Proiectul implementeaza actiuni din Strategia privind mai buna reglementare 2014-2020 legate în special de: Cresterea calitatii fluxului reglementarilor; Implementarea legislatiei europene;Dezvoltarea capacitatii administrative pentru implementarea politicilor privind mai buna reglementare</t>
  </si>
  <si>
    <t>1.Optimizarea cadrului de reglementare în domeniul constructiilor, cu accent pe reducerea sarcinilor administrative, cresterea
eficacitatii organismelor responsabile si a coerentei reglementarilor tehnice aplicabile constructiilor si investitiilor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legislatia nationala a actelor comunitare în domeniul constructiilor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calitatii serviciilor publice</t>
  </si>
  <si>
    <t>1. Elaborarea Strategiei Nationala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Sanatatii, ai Casei Nationale de Asigurari de Sanatate, ai INSP, SNSPMS, si ai
autoritatilor/institutiilor publice locale membre ale comitetelor de directoare regionale si judetene, implicati în activitatea de
elaborare, avizare, aprobare a MRSS, precum si în activitatile de monitorizare si evaluare a acestora.</t>
  </si>
  <si>
    <t>OS 1. Realizarea instrumentelor necesare autoritatilor publice centrale si locale în scopul îmbunatatirii cadrului organizatoric si
functional specific structurilor de politie locala
OS 2. Crearea cadrului normativ specific asigurarii unui management eficient al carierei politistului local si modernizarea
sistemului de formare continua si de perfectionare a pregatirii personalului din structurile de Politie Locala</t>
  </si>
  <si>
    <t>Obiectivul principal al proiectului il reprezinta de pe o parte impulsionarea muncii prin agent de munca temporara, tinând cont de principiul egalitații de tratament juridic care se ofera salariatilor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pietei muncii si în conformitate cu reglementarile nationale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adultilor, a accesului cetatenilor la aceste programe de formare autorizate.</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</si>
  <si>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activitati si proceduri din domeniul transplantului
3. Dezvoltarea si implementarea funcționalitaților Registrului Național de Transplant
4. Instruirea personalului autorizat în manipularea si gestionarea Registrului Național de Transplant</t>
  </si>
  <si>
    <t>Obiectivul general al proiectului îl constituie realizarea unui sistem de monitorizare a fluxurilor de deseuri menajere si similare în scopul
îmbunatatirii mecanismelor de gestionare a instrumentului economic “Plateste Pentru Cât Arunci”, astfel încât sa poata creste gradul de
reciclare a deseurilor municipale.
Obiectivele specifice ale proiectului
1. Realizarea unui Plan de actiune pentru digitalizarea si implementarea PPCA.
2. Realizarea unui Mecanism privind aplicarea instrumentului economic „Plateste pentru cât arunci” (PPCA).
3. Competente crescute pentru personalul Ministerului Mediului, autoritatilor în subordine sau coordonare si personalului din cadrul
structurilor asociative ale autoritatilor administratiei publice locale pentru implementarea instrumentului economic PPCA</t>
  </si>
  <si>
    <t>1.Dezvoltarea metodelor necesare optimizarii procesului decizional la nivelul Ministerului Mediului, al Agentiei Nationale pentru
Protectia Mediului, Administratiei Rezervatiei Biosferei Delta Dunarii si al autoritatilor publice locale subordonate în vederea
îmbunatatirii politicilor publice în domeniul biodiversitatii, prin elaborarea ghidurilor necesare derularii unitare la nivel national a
procedurii de evaluare adecvata.
2. Dezvoltarea metodelor necesare optimizarii procesului decizional la nivelul Ministerului Mediului, al Agentiei Nationale pentru
Protectia Mediului si al autoritatilor publice locale subordonate, în vederea îmbunatatirii politicilor publice în domeniul
biodiversitatii, prin implementarea în legislatia nationala a Protocolului de la Nagoya.</t>
  </si>
  <si>
    <t>1.Dezvoltarea de mecanisme de coordonare si monitorizarea politicilor si actiunilor de adaptare la schimbarile climatice si
din domeniul calitatii aerului prin intermediul unor servicii interconectate si proiectate astfel încât sa asigure o calitate buna a
mediului si protectia cetatenilor în contextul situatiilor generate de riscurile climatice extreme (valuri de caldura/frig, seceta,
precipitatii abundente generatoare de inundatii, viscol, etc.) si poluare atmosferica.
2. Realizarea unei Platforme nationale de adaptare la schimbarile climatice – RO-ADAPT, cu informatii si date specializate
privind schimbarile climatice si efectele induse de acestea atât în domeniul protectiei mediului (inclusiv calitatea aerului) si
biodiversitatii, precum si in alte sectoare cheie vulnerabile (energie, transport, dezvoltare urbana, apa potabila si resurse de apa)
pentru o mai buna fundamentare a politicilor si strategiilor de dezvoltare si planificare pe termen mediu si lung, precum si pentru o
mai buna informare a cetatenilor, la nivel national, asupra riscurilor generate de cresterea frecventei si intensitatii riscurilor
climatice extreme.
3. Realizarea de servicii climatice specializate prin crearea unui Centru National de Monitorizare Climatica (CNMC) cu rol
de suport pentru fundamentarea politicilor si strategiei nationale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</si>
  <si>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Obiectivul general al proiectului este a dezvolta un sistem integrat de management care sa permita elaborarea de rapoarte, analize, studii menite sa imbunatateasca si sa consolideze capacitatea decizionala a autoritatii prin prelucrarea datelor specifice colectate de Platforma
informatica din asigurarile de sanatate (PIAS) care cuprinde: Sistemul informatic unic integrat (SIUI), Sistemul national al cardului de
asigurari sociale de sanatate (CEAS), Sistemul national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întelegerea nevoilor, reducerea riscurilor, cresterea eficientei cheltuielilor publice ;
2. Generarea de rapoarte personalizate în vederea efectuarii analizelor, rapoartelor de diferite tipuri sau statisticilor necesare la nivel intern sau in solicitarile externe (Ministerul Sanatatii, Institutul National de Statistica, Institutul Național de Sanatate Publica, etc.);
3. Cresterea gradului de pregatire profesionala a personalului de decizie si crearea unei structuri organizatorice optime.</t>
  </si>
  <si>
    <t>1.Elaborarea unui document strategic care vizeaza modificarea/completarea/reactualizarea ,,Strategiei nationale de management al
riscului la inundatii pe termen mediu si lung,,, prin adaptarea legislativa la cerintele institutionale actuale si la unele metodologii
noi.
2. Revizuirea si reactualizarea Planului de actiune pentru implementarea Strategiei Nationale de Management al Riscului la Inundatii
pe termen mediu si lung, prin luarea în considerare a masurilor si actiunilor întreprinse în perioada 2010-2018.
3. Elaborarea Raportului de mediu aferent documentului strategic care vizeaza modificarea/completarea/reactualizarea ,,Strategiei
nationale de management al riscului la inundatii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responsabilitatilor, masurilor si actiunilor care trebuie întreprinse la nivelul fiecarei institutii cu
responsabilitati în domeniu, în vederea implementarii ,,Strategiei nationale de management al riscului la inundatii pe termen
mediu si lung, pentru perioada 2020-2035.
6. Stabilirea, la nivelul Ministerului Apelor si Padurilor si al Administratiei Nationale ”Apele Române”, a unui cadru institutional privind
monitorizarea si evaluarea implementarii politicilor si strategiilor prin proceduri si mecanisme din domeniul managementului
riscului la inundatii, aplicabile tuturor institutiilor de la nivel central si local, cu atributii în managementul riscului la inundatii.
7. Dezvoltarea, la nivelul Ministerului Apelor si Padurilor si al Administratiei Nationale ”Apele Române”, a unui sistem/ mecanism de
monitorizare si raportare a implementarii masurilor si actiunilor prevazute în Planul de actiune pentru implementarea Strategiei
nationale de management al riscului la inundatii,pentru perioada 2019-2035.
8. Dezvoltarea bazei de date nationale privind inundatiile, prin marcarea zonei inundate si a obiectivelor afectate (dupa fiecare
inundatie) ca instrument operativ necesar luarii deciziilor si dispunerii masurilor celor mai eficiente pentru minimizarea efectelor.
9. Dezvoltarea abilitatilor si competentelor personalului din cadrul Ministerului Apelor si Padurilor si al Administratiei Nationale
”Apele Române” în vederea coordonarii interinstitutionale si eficientizarea proceselor, masurilor, actiunilor stabilite pentru
îmbunatatirea implementarii prevederilor Strategiei nationale de management al riscului la inundatii.</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</si>
  <si>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legislatiei din domeniul de activitate al ANRE in vederea
asigurarii aderarii tuturor participantilor din piata la platforma integrata dezvoltata prin proiect prin elaborarea si adoptarea unui act
normativ in domeniul energiei in domeniul specific al schimbarii furnizorului.
2. Obiectivul specific nr. 2: Optimizarea proceselor operationale din piata de energie generate de solicitarile de schimbare a
furnizorului prin dezvoltarea si implementarea unei platforme online.
3. Obiectivul specific nr. 3: Imbunatatirea nivelului de pregatire prin acumularea de cunostinte si abilitati pentru 40 de persoane,
personal din cadrul A.N.R.E. prin participarea la activitati de formare</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</si>
  <si>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evidenta a creantelor provenite din infractiuni</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</si>
  <si>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Nationale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</si>
  <si>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performanta în domeniul politicilor familiale între MMJS-ANPISAJPIS;
2. Simplificarea accesarii serviciilor din domeniul politicilor familiale prin dezvoltarea unei interfete prietenoase de comunicare,
directe, usor de accesat si accesibilizate pentru cetateni, precum si prin dezvoltarea unei strategii la nivel national în domeniu,
astfel încât „nimeni sa nu fie lasat în urma”.</t>
  </si>
  <si>
    <t>Obiectivul general al proiectului consta in cresterea capacitatii administrative a Casei Nationale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cunostintelor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50 de
persoane din cadrul grupului tinta, in ceea ce priveste sustinerea masurilor implementate in cadrul proiectului.</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</si>
  <si>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Legislatia noua va completa legislatia privind apele uzate din activitatile industriale si agro-zootehnice in
functiune sau in conservare/inchise, pe baza principiului „poluatorul plateste”. Legislatia noua nu se suprapune cu cea din
domeniul mediului si nici cu cea din domeniul apelor uzate urbane dar se coreleaza cu aceasta.
2. Simplificarea si sistematizarea legislatiei specifice în domeniul prevenirii si controlului poluarii apelor nationale de la ape uzate
evacuate din 26 de activitati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calitatii reglementarilor, respectiv:
a. elaborarea de Valori Limita de Emisie (VLE) diferentiate pentru apele uzate din activitatile industriale si agro-zootehnice
în functiune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fata de starea apei si fondul natural.
c. Metodologie de calcul a “zonei de amestec"
d. Consultarea cu sectorul economic vizat de schimbarile legislative aparute ca urmare a adoptarii de noi prevederi legale
pentru apele uzate.</t>
  </si>
  <si>
    <t>Obiectivul general al proiectului
1.Dezvoltarea capacitatilor nationale de management al riscului în domeniul securitatii cibernetice si de reactie la incidente cibernetice în
baza unui program national, vizând consolidarea, la nivelul autoritatilor competente potrivit legii, a potentialului de cunoastere, prevenire si contracarare a amenintarilor si minimizarea riscurilor asociate utilizarii spatiului cibernetic.
2.Promovarea si consolidarea culturii de securitate în domeniul cibernetic prin formarea profesionala adecvata a persoanelor care îsi
desfasoara activitatea în acest domeniu.
Obiectivele specifice ale proiectului
1. Cresterea capacitatii de management al securitatii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</si>
  <si>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national
2. elaborarea a doua strategii – strategia nationala de reducere a riscurilor de dezastre, respectiv strategia nationala de aparare
împotriva incendiilor
3. optimizarea proceselor decizionale de la nivelul autoritatilor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capabilitatilor de management a riscurilor, precum si a
obligatiilor privind tintele stabilite prin cadrul de la Sendai de reducere a riscului de dezastre
5. realizarea unor instrumente software (baze de date on-line, site web, aplicatii etc) pentru integrarea si raportarea datelor si
indicatorilor Sendai, precum si pentru înregistrarea si evidenta efectelor dezastrelor în România
6. formarea unui aparat administrativ eficient care sa se bazeze pe instrumente obiective, cuantificabile si usor de monitorizat si
actualizat pentru implementarea prevederilor legislatiei comunitare privind managementul si reducerea riscurilor
7. asigurarea unor instrumente de informare si comunicare pentru aplicarea strategiei si legislatiei pe linia reducerii riscurilor de
dezastre</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</si>
  <si>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protectiei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Directiilor Generale de Asistenta Sociala si a Serviciilor Publice de Asistenta Sociala
de la nivel local.</t>
  </si>
  <si>
    <t>Obiectivul general al proiectului consta în cresterea capacitatii administrative a Ministerului Finantelor Publice (MFP) si a institutiilor
subordonate în vederea îmbunatatirii interactiunii cetatenilor si mediului de afaceri cu administratia publica, pentru obtinerea de
documente din arhiva institutiei.
Obiectivele specifice ale proiectului
1. OS1. Optimizarea si simplificarea serviciului de eliberare a documentelor din arhiva institutiei prin intermediul portalului Spatiului
privat virtual (SPV).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</si>
  <si>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Obiectivul general al proiectului consta în cresterea capacitatii administrative a Ministerului Finantelor Publice (MFP) si a institutiilor
subordonate în vederea îmbunatatirii interactiunii cetatenilor si mediului de afaceri cu administratia publica si obtinerii de servicii
electronice extinse prin portalul ANAF.
Obiectivele specifice ale proiectului
1. OS1. Optimizarea si simplificarea serviciilor aferente obligatiilor fiscale si nefiscale si platii taxelor oferite în cadrul Spatiului privat
virtual (SPV) prin portalul ANAF.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</si>
  <si>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necesitatile de interventie localitatile/unitatile administrativ teritoriale din România.
2. Operationalizarea unui sistem uniform ce optimizeaza procesele decizionale la nivelul administratiei publice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</si>
  <si>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Actiunea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administratia publica” - Actiunea II.6.1: „Promovarea bunelor practici si a inovarii în administratia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</si>
  <si>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solutionarea extrajudiciara a litigiilor online, prin intermediul entitatilor SAL conectate la platforma.
3. Dezvoltarea competentelor angajatilor Ministerului Economiei si ANPC în domeniul solutionarii alternative a litigiilor.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</si>
  <si>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îmbunatatirea acestuia în vederea optimizarii procesului de consultare/decizional
2. Cresterea capacitatii administrative a MDRAP pentru prefectionarea procesului de comunicare si consultare prin implementarea
instrumentelor IT&amp;C
3. Dezvoltarea abilitatilor si a cunostintelor personalului din autoritatile si institutiile publice centrale privind dezvoltarea dialogului cu
structurile asociative ale autoritatilor administratiei publice locale</t>
  </si>
  <si>
    <t>Obiectivul general al proiectului este acela de a îmbunatati capacitatea Ministerului Mediului, Apelor si Padurilor pentru stabilirea
prioritatilor de politica privind calitatea aerului în corelare cu prioritatile stabilite în alte domenii relevante care constituie surse de emisii de poluanti atmosferici, cu identificarea sinergiilor între politicile de la nivel national în materie de protectia mediului, ape si paduri, clima,
energie, industrie, transport, agricultura si dezvoltare regionala, inclusiv încalzirea locuintelor si stabilirea masurilor proportionale
aplicabile sectoarelor de activitate relevante în vederea respectarii angajamentelor nationale de reducere a emisiilor de anumiti poluanti
atmosferici pâna în anul 2030 si elaborarea Programului national de control al poluarii atmosferice (PNCPA), precum si a ghidului privind
modalitatile de aplicare a procedurii de ajustare a inventarelor nationale de emisii de poluanti atmosferici în functie de specificul national.
Obiectivele specifice ale proiectului
1. Stabilirea masurilor de reducere a emisiilor antropice nationale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responsabilitati în domeniile de activitati
generatoare de emisii de poluanti atmosferici, pentru îmbunatatirea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nationale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</si>
  <si>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national de evidenta a ocuparii în sectorul public - SENEOSP
OS 2: Proceduri transparente si incluzive de planificare, recrutare si selectie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autoritatilor si institutiilor publice centrale si locale îmbunatatite în domeniul digitalizarii, managementului resurselor umane si
formarii de formatori prin asigurarea instruirii specifice</t>
  </si>
  <si>
    <t>Obiectivul general al proiectului consta in cresterea capacitatii administrative a Autoritatii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operationale la nivelul ANR pentru reducerea cu cel putin 25% a duratei pentru
parcurgerea procedurilor administrative aferente serviciilor publice furnizate de ANR pentru cetateni si mediul de afaceri, prin
digitalizarea fluxurilor de lucru din cadrul institutiei.
3. OS3. Îmbunatatirea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</si>
  <si>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Consolidarea capacitatii Arhivelor Nationale de furnizare a serviciilor publice, prin consolidare si modernizare normativa si îmbunatatirea
continutului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avocati, instante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informatia istorica privind starea civila a persoanelor.
Schimbarile propuse vor contribui la reducerea birocratiei pentru cetateni, în sensul ca, prin implementarea cadrului metodologic
si digitalizarea registelor de stare civila, actele necesare pentru documentarea evenimentelor de viata vor fi disponibile online,
fiind redusa semnificativ nevoia interactiunii directe cu ANR pentru obtinerea informatiilor de stare civila.
3. OS3: Cunostinte si abilitati ale personalului ANR îmbunatatite în gestionarea cadrului metodologic dezvoltata si a mecanismelor
informatice de transformare digitala si regasire a informatiei de arhiva online. Se va asigura instruirea a cel putin 130 de angajaticheie
din Arhivele Nationale.</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</si>
  <si>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operationale la nivelul AAAS pentru reducerea cu cel putin 15% a duratei pentru
parcurgerea procedurilor administrative aferente celor 3 domenii specifice de activitate a AAAS (Privatizare si administrare
societati comerciale, Monitorizare postprivatizare, Redresare societati aflate în insolventa si valorificare creante) prin digitalizarea
fluxurilor de lucru din cadrul institutiei.
2. OS2. Îmbunatatirea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</si>
  <si>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tin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</si>
  <si>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Obiectivul proiectului este: reducerea poverii administrative pentru cetateni si mediul de afaceri in domeniul protectiei consumatorilor prin
implementarea unui sistem informatic integrat care sa permita gestionarea uniforma si coerenta a informatiilor din cadrul institutiei
solicitante.
Proiectul adreseaza obiectivul specific POCA OS 1.1. Dezvoltarea si introducerea de sisteme si standarde comune în administratia
publica ce optimizeaza procesele decizionale orientate catre cetateni si mediul de afaceri, în concordanta cu SCAP, respectiv obiectivul
tematic nr. ·11 Consolidarea capacitatii institutionale a autoritatilor publice si a partilor interesate si eficienta administratiei publice si îsi
propune sa consolideze capacitatea administrativa a ANPC de a sustine o economie moderna si competitiva, abordând provocarea 5
Administratia si guvernarea si provocarea 2 Oamenii si societatea din Acordul de Parteneriat al României.
Proiectul raspunde prioritatii de investitii 11i Efectuarea de investitii în capacitatea institutionala si in eficienta administratiilor si a serviciilor
publice la nivel national, regional si local in vederea realizarii de reforme, a unei mai bune legiferari si a bunei guvernante.
Proiectul asigura îndeplinirea obiectivelor specifice ale axei prioritare 2 introducerea de sisteme si standarde comune in administratia
publica ce optimizeaza procesele orientate catre beneficiari in concordanta cu SCAP, prin sustinerea unui management performant,
cresterea transparentei, eticii si integritatii la nivelul la nivelul ANPC.</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</si>
  <si>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internationala pentru dezvoltare si asistenta umanitara si a planului de actiuni
aferent acesteia
2. Construirea unui sistem integrat de monitorizare si evaluare a strategiei privind cooperarea internationala pentru dezvoltare si
asistenta umanitara
3. Realizarea unui proiect normativ cu propuneri de actualizare si simplificare a domeniul acordarii asistentei oficiale pentru
dezvoltare
4. Întarirea capacitatii Comitetului consultativ în domeniul cooperarii internationale pentru dezvoltare si asistenta umanitara prin
instruirea a 300 de persoane din cadrul institutiilor membre</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</si>
  <si>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national,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rezultati din aceasta. Totodata, perioada de aplicabilitate a documentului va fi în linie
cu noua perioada bugetara a UE, precum si cu urmatoarea Agenda pentru Cultura, respectiv, 2021- 2027. Din acest punct de vedere,
strategia va fi corelata cu noile prioritati de actiune si de finantare de la nivelul UE în scopul maximizarii investitiilor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</si>
  <si>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Eficientizarea activitatii Secretariatului General al Guvernului si a 6 institutii subordonate, prin implementarea de sisteme unitare de
management al calitatii si performantei.
Obiectivele specifice ale proiectului
1. Implementarea unui sistem de management al calitttii certificat, conform ISO 9001:2015, la nivelul Secretariatului General al
Guvernului si a 6 institutii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</si>
  <si>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Obiectivul general este consolidarea capacitatii MAE de a detecta, analiza si contracara fenomenul dezinformarii online în domeniul
afacerilor externe, respectiv de a anticipa, analiza si contracara actiuni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cunostintelor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</si>
  <si>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Obiectivul general urmarit prin proiect este eficientizarea sistemului judiciar prin punerea la dispozitia acestuia a unui sistem informatic
modern si adaptat nevoilor actuale, care sa sustina activitatea specifica a acestuia.
Obiectivele specifice ale proiectului
1. Obiectivul specific al proiectului consta în modernizarea si adaptarea sistemului electronic de management al cauzelor ECRIS
pentru a raspunde actualelor nevoi ale sistemului judiciar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</si>
  <si>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capacitatii Autoritatii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</si>
  <si>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Scopul proiectului propus consta în cresterea eficientei si transparentei monitorizarii si implementarii politicilor nationale în domeniul
precursorilor.
Obiectivele specifice ale proiectului
1. OS1. Reducerea poverii administrative pentru mediul de afaceri cu privire la acordarea drepturilor desfasurarii operatiunilor
specifice cu precursori de droguri (servicii oferite de Agentia Nationala Antidrog – emiterea de licente, înregistrari, autorizatii de
import si export) prin digitalizarea serviciilor/implementarea unui sistem informatic de comunicare pentru îndeplinirea obligatiilor;
OS2. Optimizarea procesului decizional la nivelul Agentiei Nationale Antidrog prin extinderea utilizarii instrumentelor informatice
de monitorizare si control al operatiunilor cu precursori si simplificarea proceselor inter- si intra-institutionale;
OS3. Dezvoltarea competentelor si cunostintelor personalului din structurile cu atributii în procesul de monitorizare si control al
operatiunilor cu precursori prin organizarea de cursuri specifice.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</si>
  <si>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solutionare a cererilor depuse pentru obtinerea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</si>
  <si>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legislatiei si reducerea sarcinilor administrative, consolidarea capacitatii autoritatilor si institutiilor publice pentru implementarea transparenta si eficienta a achizitiilor publice precum si îmbunatatirea eficientei sistemului judiciar.</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</si>
  <si>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cunostintelor si abilitatilor profesionale la nivelul personalului auxiliar de
specialitate din cadrul instantelor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</si>
  <si>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interesatti, fundamentate prin analize si cercetari sociologice.
Obiectivele specifice ale proiectului
1. OS1: Actualizarea cadrului legal pentru prevenirea si sanctionarea conflictelor de interese, a incompatibilitatilor si averilor
nejustificate
2. OS2: Sprijinirea autoritatilor si institutiilor publice în scopul optimizarii procesului de depunere electronica a DAI si elaborarea unor
proceduri unitare
3. OS3: Dezvoltarea cunostintelor persoanelor responsabile din institutiile publice în privinta procesului de completare si depunere
electronica a declaratiilor de avere si interese prin sistemul e-DAI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</si>
  <si>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perfectionarea activitatii specialistilor implicati în procesul de identificare, administrare si
recuperare a creantelor provenite din infractiuni.</t>
  </si>
  <si>
    <t>Obiectivul general al proiectului este îmbunatatirea accesibilitatii, transparentei, integritatii si a calitatii serviciului public de executare silita prin dezvoltarea competentelor profesionale ale executorilor judecatoresti si prin digitalizarea si standardizarea activitatii de executare silita.
Obiectivele specifice ale proiectului
1. Dezvoltarea competentelor profesionale si abilitatilor executorilor judecatoresti, cât si a personalului suport prin actiuni de formare
specializata în vederea cresterii calitatii serviciului public furnizat si a uniformizarii practicii
2. Cresterea transparentei, integritatii, accesibilitatii si calitatii serviciului public de executare silita prin dezvoltarea unei aplicatii
informatice (SiLEx) ce care ca scop digitalizarea si standardizarea activitatii de executare silita</t>
  </si>
  <si>
    <t>ASOCIAȚIA BALKAN EXPERT GROUP</t>
  </si>
  <si>
    <t>Dezvoltare locală sustenabilă în Orașul Măcin</t>
  </si>
  <si>
    <t xml:space="preserve">Obiectiv general: Dezvoltarea capacitatii ONG-urilor de a crea parteneriate viabile si durabile cu autoritati publice locale si de a se implica
in dezvoltarea la nivel local in orasul Macin.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
</t>
  </si>
  <si>
    <t>ASOCIAȚIA ”ECO TRAVEL”</t>
  </si>
  <si>
    <t>Ecoturism și dezvoltare locală în comuna Tazlău</t>
  </si>
  <si>
    <t>ASOCIAȚIA "CENTRUL DE RESURSE RE-START”</t>
  </si>
  <si>
    <t>Tazlău</t>
  </si>
  <si>
    <t>ASOCIAȚIA "INSTITUTUL PENTRU POLITICI PUBLICE"</t>
  </si>
  <si>
    <t>Implicarea civică în dezvoltarea locală romașcană</t>
  </si>
  <si>
    <t>ASOCIAȚIA EMOȚII</t>
  </si>
  <si>
    <t>Galați Edu Cluster 2021+</t>
  </si>
  <si>
    <t>CAMERA DE COMERȚ, INDUSTRIE ȘI
AGRICULTURĂ GALAȚI</t>
  </si>
  <si>
    <t>ASOCIAȚIA JUST SOCIAL</t>
  </si>
  <si>
    <t>CRICĂU - Parteneriate puternice, comunitate puternică!</t>
  </si>
  <si>
    <t>ASOCIAȚIA UMAN</t>
  </si>
  <si>
    <t>Cricau</t>
  </si>
  <si>
    <t>ASOCIATIA "NOUL VAL"</t>
  </si>
  <si>
    <t>Capacitatea membrilor ONG-urilor pentru implicare activă în luarea deciziilor la nivel local</t>
  </si>
  <si>
    <t>Obiectiv general: Crearea unui parteneriat durabil intre Asociatia Noul Val si Primaria comunei Garliciu in vederea promovarii dezvoltarii
locale                                                                                                                                                                                                                                                                                                                            OS1 Dezvoltarea unui parteneriat durabil intre Solicitant si autoritatile locale functional la 6 luni dupa finalizarea proiectului
 OS2 Dezvoltarea competentelor si insusirea unui „know how’ specific pentru 40 reprezentanti ai ONG-urilor si partenerilor sociali
in vederea consolidarii abilitatilor pentru formularea si promovarea dezvoltarii la nivel local.
OS3 Dezvoltarea responsabilitatii civice, de implicare a comunitatilor locale in viata publica si de participare la procesele
decizionale prin dezvoltarea a min 3 proiecte specifice la nivel local</t>
  </si>
  <si>
    <t>Gârliciu</t>
  </si>
  <si>
    <t>AGENȚIA METROPOLITANĂ PENTRU DEZVOLTARE DURABILĂ BRAȘOV</t>
  </si>
  <si>
    <t>Consolidarea capacității de integrare a politicilor urbanistice în Zona Metropolitană Brașov</t>
  </si>
  <si>
    <t>Obiectivul general al proiectului ”Consolidarea capacitatii de integrarea a politicilor urbanistice in Zona Metropolitana Brasov” este
dezvoltarea de proceduri si mecanisme eficiente pentru sustinerea si promovarea dezvoltarii la nivel local prin intermediul politicilor de
dezvoltare urbanistica si teritoriala.                                                                                                                                                                                                                                                        OS1 - Dezvoltarea abilitatilor si competentelor relevante pentru dezvoltarea urbanistica care pot facilita / optimiza dialogul intre
actorii relevanti in domeniul planificarii dezvoltarii teritoriale cu efecte directe asupra nivelului de implicare in elaborarea,
implementarea, monitorizarea si evaluarea politicilor publice urbanistice                                                                                                                                                               OS2 - Elaborarea unui set de proceduri si mecanisme eficiente pentru sustinerea si promovarea dezvoltarii la nivel local prin
intermediul politicilor de dezvoltare urbanistica si teritoriala intr-o maniera colaborativa- participativa</t>
  </si>
  <si>
    <t>Asociația de Turism Retezat</t>
  </si>
  <si>
    <t>Eu sunt Hațeg! - branding local cu implicarea comunității</t>
  </si>
  <si>
    <t>Hațeg</t>
  </si>
  <si>
    <t>Societatea Academică din România</t>
  </si>
  <si>
    <t>PROCIVIS - Implicare civică pentru dezvoltarea
locală a Municipiului Reșița</t>
  </si>
  <si>
    <t>Resița</t>
  </si>
  <si>
    <t>ASOCIAȚIA TRANSPARENȚĂ PENTRU INTEGRITATE</t>
  </si>
  <si>
    <t>Opțiuni strategice pentru dezvoltarea durabilă a Municipiului Calafat</t>
  </si>
  <si>
    <t>AA1/23.12.2020 durata, AA2/8.07.2021 durata, AA3/3.12.2021 durata, buget (ue, bn), AA4/4.08.2022 durata</t>
  </si>
  <si>
    <t>AA1/9.11.2021 durata AA2/24.02.2022 durata AA4/27.04.2022 durata    AA5/4.08.2022 durata</t>
  </si>
  <si>
    <t>AA1/14.07.2021 durata     AA2/9.08.2022 buget (ue, cb)</t>
  </si>
  <si>
    <t>AA1/8.12.2020 buget  AA2/12.04.2021 buget  AA3/30.03.2022 durata si buget         AA4/9.08.2022 durata buget (ue,cb)</t>
  </si>
  <si>
    <t>ASOCIAȚIA "CLUBUL SPORTIV ENDURANCH"</t>
  </si>
  <si>
    <t>Harta Administrației Incluzive (HAI) - Simplificare și transparență în colaborarea cu ONG-urile active în comunitate</t>
  </si>
  <si>
    <t>Dezvoltarea responsabilitatii civice, de implicare a comunitatilor locale in viata publica si de participare la procesele decizionale prin
crearea, testarea si utilizarea unui instrument de modernizare a Administratiei Publice Locale, “Harta Administratiei Incluzive”.
Obiectivele specifice ale proiectului
1. (1) Dezvoltarea competentelor de comunicare, de relationare a Administratiei Publice Locale cu ONG-urile din acea comunitate,
prin crearea si testarea - in comun - a unui instrument de modernizare a Administratiei Publice Locale, “Harta Administratiei
Incluzive”
2. (2) Utilizarea, promovarea si multiplicarea utilizarii instrumentului creat in comun de catre reprezentanti ai APL si ONG-uri dintr-o
comunitate, in vederea consolidarii dialogului civic in cat mai multe comunitati locale</t>
  </si>
  <si>
    <t>Bârnova</t>
  </si>
  <si>
    <t>ASOCIAȚIA "CENTRUL DE RESURSE RE-START"</t>
  </si>
  <si>
    <t>Promovarea dezvoltării locale prin intermediul turismului sustenabil</t>
  </si>
  <si>
    <t>Razboieni</t>
  </si>
  <si>
    <t>Dialog și implicare pentru dezvoltare locală sustenabilă</t>
  </si>
  <si>
    <t>ASOCIAȚIA ENGAGE IN EDUCATION</t>
  </si>
  <si>
    <t>Building a Strong Civil Society</t>
  </si>
  <si>
    <t>Botosesti-Paia, Craiova</t>
  </si>
  <si>
    <t>ALERT-Administrație Locală Eficientă Responsabilă Transparentă</t>
  </si>
  <si>
    <t>Novaci</t>
  </si>
  <si>
    <t>Asociația pentru Promovarea Alimentului Românesc-A.P.A.R.</t>
  </si>
  <si>
    <t>Știu ce vreau! Cum susțin?</t>
  </si>
  <si>
    <t>ASOCIAȚIA CLUBUL SPORTIV SMART ATLETIC</t>
  </si>
  <si>
    <t>Împreună pentru Comana-strategie de dezvoltare prin consultare, dialog și branding local</t>
  </si>
  <si>
    <t>Obiectivul general al proiectului il reprezinta formularea si promovarea dezvoltarii locale in cadrul Comunei Comana prin crearea
strategiei de brand ca parte a parteneriatului pentru dezvoltare locala intre Asociatia Clubul Sportiv Smart Atletic si Comuna Comana
Obiectivele specifice ale proiectului
1. Dezvoltarea unei strategii de brand care sa aiba la baza o cercetare socilogica privind imaginea Comunei in ochii cetatenilor
2. Cresterea implicarii cetatenilor comunei Comana in dezvoltarea strategiei de brand prin crearea si operationalizarea Consiliului de
brand
3. Integrarea strategiei de place branding in strategia de dezvoltare locala si crearea premiselor pentru implementarea acesteia in
cadrul Parteneriatului pentru Dezvoltare locala intre Asociatia Clubul Sportiv Smart Atletic si Comuna Comana</t>
  </si>
  <si>
    <t>Comana</t>
  </si>
  <si>
    <t>AA 1/20.11.2019 AA2/23.06.2021 durata  AA3/11.08.2022 durata</t>
  </si>
  <si>
    <t>AA1/21.07.2020 buget AA2/17.11.2020 buget AA3/11.06.2021 buget  AA4/11.08.2022 durata si buget</t>
  </si>
  <si>
    <t>Obiectivul general al proiectului consta în implicarea activa a Asociatiei Eco Travel în sustinerea si promovarea dezvoltarii la nivel local a
com. Tazlau din judetul Neamt prin consultare publica cu autoritatile publice locale si cetateni în vederea elaborarii unei Strategii de
dezvoltare si promovare a turismului la nivel local si sprijinirea initiativelor de implicare si dezvoltare a responsabilitatii civice privind
dezvoltarea durabila, fapt ce va determina cresterea nivelului de dezvoltare locala pe termen lung.                                                                                                   OS1: Cresterea gradului de constientizare si implicare civica a cetatenilor din Comuna Tazlau, judetul Neamt, precum si a
partenerilor sociali, a ONG-urilor si a altor actori sociali relevanti din zona localitatii Tazlau, cu privire la potentialul turistic al
acestei localitati prin dezvoltarea unui instrument inovativ pentru promovarea dezvoltarii la nivel local si consultare publica pe o
perioada de 11 luni.                                                                                                                                                                                                                                                                                           OS2: Elaborarea Strategiei de dezvoltare si promovare a turismului din Comuna Tazlau, judetul Neamt, pe baza consultarii
publice dintre asociatie si autoritatile locale, parteneri sociali, ONG-uri si alti actori sociali relevanti din zona localitatii Tazlau si
cetateni într-o perioada de 10 luni.                                                                                                                                                                                                                                                          OS3: Cresterea responsabilitatii civice privind dezvoltarea durabila, prin realizarea de activitati în acest sens, cu un grup de 70 de
elevi, înscrisi la Scoala Gimnaziala „I.I. Mironescu” din Tazlau, pe parcursul a 4 luni.</t>
  </si>
  <si>
    <t>Cresterea capacitatii ONG-urilor si a cetatenilor de a participa la monitorizarea si evaluarea dezvoltarii locale în Municipiul Roman.
Obiectivele specifice ale proiectului
1. Dezvoltarea unui parteneriat între Primaria Municipiului Roman si IPP în vederea promovarii dezvoltarii la nivel local si asigurarea
functionalitatii acestuia si dupa finalizarea proiectului.
2. Dezvoltarea unui instrument de monitorizare si evaluare independenta a Strategiei Integrate de Dezvoltare Urbana a Municipiului
Roman 2014-2027
3. Cresterea capacitatii ONGurilor/cetatenilor din Municipiul Roman în consultarea cu autoritatile locale si în implicarea în procesul
de adoptare a deciziilor (prin monitorizarea si prin elaborarea de propuneri privind actualizarea Strategiei Integrate de Dezvoltare
Urbana a Municipiului Roman 2014-2027).</t>
  </si>
  <si>
    <t>Consolidarea capacitatii ONG-urilor din judetul Galati de a se implica în dezvoltarea educatiei la nivel local prin consolidarea capacitatii
interne si extinderii ariei de interventie, dezvoltarea de initiative privind promovarea cetateniei active in randul tinerilor si consolidarea
parteneriatelor pentru dezvoltare locala in scopul sustinerii educatiei APL-ONG-scoala-parteneri sociali
Obiectivele specifice ale proiectului
1. Cresterea capacitatii profesionale a 75 angajati si voluntari din ONG-uri, APL-uri si unitati educationale din judetul Galati in
domeniul dezvoltarii educatiei (investitii si metodica) prin organizarea a 5 cursuri de capacity building
2. Promovarea cetateniei active in randul a 300 persoane (tineri, profesori, angajati din APL, ONG si IMM) din judetul Galati prin
organizarea unei campanii judetene, realizarea unei platforme de implicare civica in domeniul educatiei Galati Edu 2021+ cu
scopul fundamentarii Strategiei de dezvoltare a sistemului educational in judetul Galati
3. Consolidarea parteneriatului pentru dezvoltare locala (PDL) in scopul sustinerii educatiei la nivelul judetului Galati prin infiintarea
unui cluster educational - Galati Edu Cluster 2021+</t>
  </si>
  <si>
    <t>Obiectivul general al proiectului este de a consolida capacitatea organizatiilor nonguvernamentale si partenerilor sociali de a realiza
parteneriate locale pentru dezvoltare si de a se implica in formularea si promovarea dezvoltarii comunei Cricau precum si în procesul de
luare a deciziilor (cetatenie activa), oferind tuturor cetatenilor si grupurilor sociale oportunitatea de a se implica in actiuni si initiative care
contribuie la promovarea si respectarea valorilor democratice si a drepturilor omului.
Obiectivele specifice ale proiectului
1. Obiectiv 2. Dezvoltarea si aplicarea a 3 instrumente si 3 mecanisme de lucru pentru sustinerea, promovarea si consolidarea
dialogului cu autoritatile publice locale, pe o perioada de min. 18 luni de la data semnarii contractului de finantare.
2. Obiectiv 3. Dezvoltarea si aplicarea a 3 instrumente si 3 mecanisme de monitorizare si evaluare a politicilor publice si strategiilor
locale pe baza consultarii autoritatilor publice locale, pe o perioada de min. 18 luni de la data semnarii contractului de finantare.
3. Obiectiv 4. Cresterea capacitatii societatii civile locale, prin instruiri si activitati comune, desfasurate intr-o perioada max. 18 luni
de la data semnarii contractului de finantare.</t>
  </si>
  <si>
    <t>Cresterea capacitatii Asociatiei de Turism Retezat de a se implica în dezvoltarea si promovarea orasului Hateg.
Obiectivele specifice ale proiectului
1. OS1: Recrutarea si formarea a 20 persoane (GT) in domeniul brandingului de localitate, din care 8 din cadrul ONG-ului solicitant
2. OS2: Crearea unei strategii de identitate de brand a orasului Hateg printr-o forma participativa, ca reper pentru dezvoltarea
ulterioara economica si sociala a orasului, înglobând cele mai bune practici internationale în brandingul unui loc
3. OS3:Activarea spiritului civic si realizarea unei mecanism de implicare a cetatenilor si a tuturor factorilor interesati în sustinerea si
promovarea strategiei de brand
4. OS4: Promovarea proiectului si a rezultatelor acestuia catre publicurile tinta si partile interesate</t>
  </si>
  <si>
    <t>Obiectivul general al proiectului este cresterea capacitatii organizatiilor neguvernamentale din domeniul bunei guvernari si a administratiei
publice locale de a monitoriza, evalua, optimiza strategii de dezvoltare locala si imbunatati procesele decizionale de adoptare a politicilor
publice prin utilizarea mecanismelor de participare publica si dialog civic.
OG al proiectului rezulta ca o consecinta a atingerii obiectivelor specifice mentionate mai jos. La randul lor, obiectivele specifice pot fi
atinse prin realizarea rezultatelor prevazute pentru fiecare din subactivitatile proiectului. OS1 si OS2 relationeaza cu R1, R2 si R4, iar OS3
relationeaza cu R3 si R5.
Obiectivele specifice ale proiectului
1. OS1 - Cresterea capacitatii SAR si a ONG-urilor active în Municipiul Resita de a se implica în promovarea dezvoltarii locale prin
participarea a 9 membri ONG la o sesiune de formare si 2 ateliere comune cu angajati ai primariei Resita
2. OS2 – Îmbunatatirea gradului de cooperare cu ONG-uri si a capacitatii Primariei Resita de a utiliza mecanisme de participare
publica în procesele de monitorizare, evaluare si implementare a strategiilor de dezvoltare si a politicilor publice locale prin
participarea a 5 angajati la o sesiune de formare si 2 ateliere comune cu membri ONG
3. OS3 – Încurajarea dialogului civic între autoritatile publice locale, organizatiile non- guvernamentale si cetateni prin
operationalizarea unui parteneriat pentru dezvoltare locala în Municipiul Resita axat pe monitorizarea si optimizarea mobilitatii
urbane si implementarea a minim 3 mecanisme de implicare civica</t>
  </si>
  <si>
    <t>Obiectivul general al prezentului proiect consta în implicarea activa a ASOCATIEI TRANSPARENTA PENTRU INTEGRITATE (ATPI) in
dezvoltarea parteneriatului pentru promovarea oportunitatilor existente la nivelul MUNICPIULUI CALAFAT
Obiectivele specifice ale proiectului
1. OS. 1: Sprijinirea administratiei locale si a cetatenilor in identificarea si valorificarea oportunitatil[or locale prin instrumente
moderne
2. OS 2: Consolidarea capacitatii ASOCATIEI TRANSPARENTA PENTRU INTEGRITATE (ATPI) si a comunitatii locale in
sustinerea dezvoltarii locale si utilizarea corespunzatoare a instrumenelor dezvoltate prin proiect</t>
  </si>
  <si>
    <t xml:space="preserve">Obiectivul general al proiectului consta în implicarea activa a Asociatiei „Centrul de resurse RE-START” în formularea si promovarea
dezvoltarii la nivel local a com. Razboieni din judetul Neamt prin consultare publica cu autoritatile publice locale si cetateni în vederea
elaborarii unei Strategii de dezvoltare si promovare turistica si sprijinirea de inititative de dezvoltare a responsabilitatii civice privind
dezvoltarea durabila, fapt ce va determina cresterea nivelului de dezvoltare locala pe termen lung.
Obiectivele specifice ale proiectului
1. OS1: Cresterea gradului de constientizare si implicare civica a cetatenilor din Comuna Razboieni, judetul Neamt, precum si a
partenerilor sociali, a ONG-urilor si a altor actori sociali relevanti din zona localitatii Razboieni, cu privire la potentialul turistic al
acestei localitati prin dezvoltarea unui instrument inovativ pentru promovarea dezvoltarii la nivel local si consultare publica pe o
perioada de 11 luni.
2. OS2: Elaborarea Strategiei de dezvoltare si promovare a turismului din Comunei Razboieni, judetul Neamt, pe baza consultarii
publice dintre asociatie si autoritatile locale, parteneri sociali, ONG-uri si alti actori sociali relevanti din zona localitatii Razboieni si
cetateni într-o perioada de 10 luni.
3. OS3: Cresterea responsabilitatii civice privind dezvoltarea durabila prin realizarea de activitati în acest sens cu un grup de 60 de
elevi, înscrisi la Scoala Gimnaziala „Constantin Virgil Gheorghiu” din Razboieni, pe parcursul a 4 luni.
</t>
  </si>
  <si>
    <t>Consolidarea capacitatii a minimum 40 de organizatii non-guvernamentale si parteneri sociali de a se implica în formularea si promovarea
dezvoltarii la nivel local, prin elaborarea si implementarea unor mecanisme si proceduri de interactiune cu autoritati publice locale, precum si prin instruire specializata si networking.
Obiectivele specifice ale proiectului
1. Obiectiv specific 1: Întarirea capacitatii de colaborare si participare activa a organizatiilor non-guvernamentale si a partenerilor
sociali, prin elaborarea si implementarea unui mecanism de consultare la nivelul Primariei Aiud, denumit Grup Consultativ pentru
Dezvoltare Locala (CDL).
2. Obiectiv specific 2: Dezvoltarea de competente specifice la nivelul personalului din cadrul ONG-urilor si parteneri sociali prin
derularea a 6 sesiuni de instruire specializata, certificarea a minimum 80 de participanti, precum si printr-o retea tematica de
cooperare la nivel local.
3. Obiectiv specific 3: Îmbunatatirea capacitatii organizatiilor non-guvernamentale si partenerilor sociali de a-si extinde aria de
interventie, prin dezvoltarea unui instrument de monitorizare si evaluare independenta a politicilor si strategiilor la nivel local,
precum si prin dezvoltarea a doua proceduri de interactiune a ONG-urilor cu autoritatile publice locale.</t>
  </si>
  <si>
    <t xml:space="preserve">Dezvoltarea durabila a comunei Botosesti Paia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Prezentul proiect este in concordanta cu Scopul acestui apel (de a consolida capacitatea organizatiilor non-guvernamentale si partenerilor
Obiectivele specifice ale proiectului
1. Realizarea de instrumente de monitorizare si evaluare independenta a politicilor si strategiilor de dezvoltare a comunei Botosesti
Paia pe parcursul implemenarii proiectului:
2. Raport anual de monitorizarea eficientei cheltuielilor publice si a executiei bugetului local;
3. Raport anual de monitorizarea gradului de colectare a taxelor si impozitelor locale;
4. Raport anual de monitorizarea corelarii componenetei bugetare cu componente strategica a politicilor publice locale;
5. Raport anual de monitorizarea implementarii planurilor de dezvoltare a comunitatii.
2. Realizarea de proceduri, mecanisme pentru sustinerea si promovarea dezvoltarii la nivel local si de interactiune cu autoritatile
siinstitutiile administratiei publice din comuna Botosesti Paia pe parcursul implementarii proiectului.
3. Dezvoltarea si implementarea mecanismelor de consultare a autoritatilor si institutiilor publice din comuna Botosesti Paia cu
ONG-urile, partenerii sociali si a cetatenilor în elaborarea politicilor si strategiilor la nivel local pe parcursul implementarii
proiectului.
4. Dezvoltarea capacitatii partenerilor sociali din comuna Botosesti Paia si a ONG-urilor din judetul Dolj prin formare profesionala,
activitatiîntreprinse în comun, infiintarea unor retele tematice regionale si nationale pe parcursul implementarii proiectului.
</t>
  </si>
  <si>
    <t>Consolidarea capacitatii ONG-urilor si a partenerilor sociali de a se implica in formularea si promovarea dezvoltarii la nivel local prin
Acordul de parteneriat semnat de solicitant cu Primaria Novaci, vizand consolidarea transparentei decizionale, imbunatatirea serviciilor
publice, cresterea responsabilitatii civice privind egalitatea de sanse, dezvoltarea durabila si voluntariat pentru comunitatea locala.
Obiectivele specifice ale proiectului
1. OS1- Consolidarea transparentei procesului decizional in administratia publica locala prin analiza detaliata a situatiei existente si
formularea de propuneri pentru imbunatatirea mecanismelor si instrumentelor de comunicare cu ONG-uri/ parteneri sociali,
cetateni; informarea si constientizarea a 40 persoane din GT prin 2 ateliere vizand democratia participativa si decizia publica.
2. OS2 –Implicarea ONG-urilor/ partenerilor sociali privind orientarea serviciilor publice pe nevoile beneficiarilor prin analiza situatiei
actuale, elaborarea unui plan integrat pentru simplificarea procedurilor administrative aplicabile cetatenilor si abordarea de solutii
novatoare prin aplicarea conceptului de „Ghiseu Unic”
3. OS3 - Dezvoltarea de instrumente independente de monitorizare si evaluare a serviciilor publice la nivel local din perspectiva
cetatenilor, beneficiari ai serviciilor publice, prin stabilirea de indicatori specifici de monitorizare si evaluare si elaborarea unei
metodologii cadru pentru monitorizarea si evaluarea integrata a performantei în furnizarea serviciilor publice la nivelul
administratiei locale.
4. OS4 - Dezvoltarea cunostintelor si abilitatilor resurselor umane din ONG-uri si parteneri sociali pentru un numar de 40
participanti, prin 2 sesiuni de curs de formare acreditat ANC pentru competente sociale si civice; dezvoltarea competentelor
sociale si civice pentru 40 participanti din alte categorii ale GT;
5. OS5 - Constientizarea ONG-urilor si partenerilor sociali de implicare a comunitatii locale in promovarea egalitatii de sanse, a
egalitatii de sanse intre femei si barbati si nediscriminarii pentru 40 de participanti din GT prin organizarea de 2 ateliere.
6. OS6 - Implicarea ONG-urilor si partenerilor sociali prin initiative si actiuni de constientizare si participare a comunitatii locale
pentru implementarea dezvoltarii durabile, cu accent pe colectarea selectiva si reciclarea deseurilor, pe protectia biodiversitatii,
utilizarea eficienta a resurselor prin organizarea de 4 ateliere cu un numar total de 80 participanti din GT;
7. OS7 - Cresterea capacitatii ONG-urilor in dezvoltarea si implementarea voluntariatului pentru dezvoltare durabila prin organizarea
unui atelier de constientizare pentru 20 participanti, infiintarea unei asociatii „Voluntar pentru zone curate si verzi” si organizarea
de 3 seminarii pentru operationalizarea asociatiei;
8. OS8 - Implicarea ONG-urilor in constientizarea comunitatii locale pentru protejarea biodiversitatii etnoculturale, pastrarea,
dezvoltarea si promovarea traditiilor, produselor specifice zonei prin constientizarea de 40 persoane prin 2 ateliere dedicate si
infiintarea unei asociatii.
9. OS9 - Informarea, sensibilizarea si constientizarea ONG-urilor /partenerilor sociali a comunitatii locale in formularea si
promovarea dezvoltarii locale prin actiunile de informare si publicitate, prin 2 conferinte (lansare si finalizarea proiect cu un numar
total de 80 participanti) prin website, retele de socializare, afise, anunturi /comunicate de presa materiale de promovare cu
identitatea vizuala a proiectului.
10. OS10- Asigurarea unui management performant care sa asigure realizarea rezultatelor de program si a rezultatelor de proiect
asumate in conditiile respectarii duratei prevazute a proiectului si realizarea de cheltuieli eligibile conform bugetarii propuse.</t>
  </si>
  <si>
    <t xml:space="preserve">Obiectivul acestui proiect este acela de a consolida capacitatea organizatiilor non-guvernamentale din judetul Cluj de a se implica in
formularea si promovarea dezvoltarii la nivel local. In acest sens, proiectul isi propune sa puna bazele unui Parteneriat pentru Dezvoltare
Locala, functional la 6 luni dupa finalizarea proiectului, intre Autoritatea Publica locala municipiul Cluj Napoca,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Obiectivele specifice ale proiectului
1. OS 1 Dezvoltarea unui parteneriat între ONG-uri /parteneri sociali si UAT municipiul Cluj Napoca, functional la 6 luni dupa
finalizarea proiectelor
2. OS 2 Dezvoltarea de proceduri si mecanisme pentru sustinerea si promovarea dezvoltarii la nivelul municipiului si de interactiune
dintre autoritatile si institutiile administratiei publice cu comunitatea locala in perioada 2021-2027;
3. OS 3 Dezvoltarea capacitatii partenerilor sociali si a ONG-urilor prin instruiri in domeniul monitorizarii strategiilor si politicilor locale
si de participare la procesele decizionale, de promovare a egalitati de sanse si nediscriminarii, precum si a dezvoltarii durabile;
</t>
  </si>
  <si>
    <t>Societatea Națională de Cruce Roșie din România - Filiala Ilfov</t>
  </si>
  <si>
    <t>Responsabilitate și sprijin în comunitate</t>
  </si>
  <si>
    <t>Obiectivul general al proiectului “Responsabilitate si sprijin in comunitate” consta în cresterea capacitatii organizationale a SNCRR Filiala
Ilfov de a se implica în formularea unui instrument comun de interventie in situatie de criza la nivelul orasului Buftea si totodata
dezvoltarea de abilitati si competente in randul voluntarilor, ce vin in sprijinul comunitatii in situatie de criza. 
Obiectivele specifice ale proiectului
1. OS1. Cresterea capacitatii organizationale a SNCRR Filiala Ilfov prin construirea unui dialog sustenabil cu societatea civila si
administratia publica;
2. OS2. Cresterea gradului de constientizare a rolului societatii civile in comunitate prin elaborarea unui instrument comun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Orasul Buftea prin incheierea a minim 50 de contracte de voluntariat;
6. OS6. Cresterea gradului de constientizare privind egalitatea de sanse si nediscriminarea in in comunitate precum si a protectiei
mediului prin promovarea obiectivelor de dezvoltare durabila</t>
  </si>
  <si>
    <t>Buftea</t>
  </si>
  <si>
    <t>Asociația Ion Câmpineanu pentru Consultanță, Management și Dezvoltare Durabilă</t>
  </si>
  <si>
    <t>Îmbunătățirea capacității ONG pentru sprijinirea dezvoltării la nivel local</t>
  </si>
  <si>
    <t>Hârșova</t>
  </si>
  <si>
    <t>Obiectiv general: Dezvoltarea capacitatii ONG-urilor de a crea parteneriate viabile si durabile cu autoritati publice locale si de a se implica
in dezvoltarea la nivel local in orasul Harsova.
Obiectivele specifice ale proiectului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</si>
  <si>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AGENȚIA DE DEZVOLTARE REGIONALĂ NORD-VEST</t>
  </si>
  <si>
    <t>Consolidarea dialogului între APL si ecosistemele antreprenoriale din Regiunea Nord Vest</t>
  </si>
  <si>
    <t>Imbunatatirea colaborarii intre ADR Nord-Vest, a altor ONG-uri si/sau parteneri sociali, autoritatilor publice locale si ecosistemelor
antreprenoriale (reprezentate prin ONG-uri antreprenoriale, hub-uri, organizatii patronale, clustere, Camere de Comert etc.) din Regiunea
de Dezvoltare Nord-Vest in vederea facilitarii dialogului cu privire la dezvoltarea locala.
Obiectivele specifice ale proiectului
1. OS1. Incheierea, dezvoltarea si consolidarea de Parteneriate pentru Dezvoltare Locala intre ADR Nord-Vest si Primaria
Municipiului Cluj-Napoca, Primaria Oradea, Primaria Bistrita, Primaria Baia Mare, Primaria Satu Mare, Primaria Zalau, alte
autoritati publice locale, ONG-uri si/sau parteneri sociali si ecosistemele antreprenoriale (reprezentate prin ONG-uri
antreprenoriale, hub-uri, organizatii patronale, clustere, Camere de Comert etc.) din Regiunea de Dezvoltare Nord-Vest.
2. OS2. Consolidarea capacitatii ADR Nord-Vest, a altor ONG-uri si/sau a partenerilor sociali de a facilita dialogul cu privire la
dezvoltarea locala, intre cele 6 primarii care au semnat Parteneriatele pentru Dezvoltare Locala, alte autoritati publice locale si
ecosistemele antreprenoriale (reprezentate prin ONG-uri antreprenoriale, hub-uri, organizatii patronale, clustere, Camere de
Comert etc.) din Regiunea de Dezvoltare Nord-Vest.</t>
  </si>
  <si>
    <t>Bihor, Bistrița-Năsăud, Cluj, Maramureș, Satu-Mare, Sălaj</t>
  </si>
  <si>
    <t>ASOCIAȚIA EXCELSIOR PENTRU EXCELENȚĂ ÎN EDUCAȚIE</t>
  </si>
  <si>
    <t>GORJ CIVIC HUB</t>
  </si>
  <si>
    <t>Obiectivul general al proiectului il constituie cresterea capacitatii si a gradului de implicare a societatii civile din judetul Gorj in promovarea
dezvoltarii la nivel local prin sprijinirea implicarii in cadrul mecanismelor decizionale la nivel local si crearea unei retele tematice judetene,
prin constientizarea rolului acestora de catre reprezentantii sectorului public si a partenerilor sociali, concomitent cu consolidarea
capacitatii acestora, prin intermediul programelor de formare.                                                                                                                                                                                         Obiectivele specifice ale proiectului
1. OS1) Cresterea gradului de constientizare cu privire la rolul societatii civile in randul membrilor /si voluntarilor din cadrul ONGurilor
si partenerilor sociali din judetul Gorj cat si al reprezentantilor din sectorul public prin evenimente dedicate si distribuirea de
materiale de promovare
2. OS2) Consolidarea capacitatii ONG-urilor si partenerilor sociali din judetul Gorj de a se implica in dezvoltarea locala prin cresterea
competentelor resurselor umane (angajati si voluntari) obtinute in urma unor programe de formare specifice
3. OS3) Cresterea nivelului de implicare a ONG-urilor gorjene in procesele de luare a deciziilor /si elaborare a strategiilor/planurilor
pe termen mediu si lung la nivelul judetului Gorj prin realizarea si consolidarea retelei tematice GORJ CIVIC HUB.</t>
  </si>
  <si>
    <t>FUNDAȚIA ROMTENS</t>
  </si>
  <si>
    <t>Promovarea dezvoltării la nivel local prin elaborarea și implementarea de instrumente de monitorizare și evaluare a politicilor și strategiilor locale și prin acțiuni de consultare și consolidare a dialogului social și civic – PDL-Com-S</t>
  </si>
  <si>
    <t>Obiectivul General al Proiectului este:
Optimizarea proceselor orientate catre cetateni prin dezvoltarea si aplicarea de instrumente si mecanisme facilitate de instruire si dedicate
consultarii, monitorizarii si evaluarii politicilor si strategiilor publice la nivel local in comunele Saschiz si Albesti.                                                                       Obiectivele specifice ale proiectului
1. OS1: Asigurarea unei evaluari si monitorizari obiective si independente a politicilor si strategiilor la nivel local, in comunele
Saschiz si Albesti, prin intermediul unui instrument dedicat si a metodologiei de utilizare a acestuia
2. OS2: Cresterea nivelului de participare a ONGurilor, si a cetatenilor, atat in procesul de elaborare a politicilor publice locale, cat si
in cadrul dialogului social si civic, in comunele Saschiz si Albesti
3. OS3: Cresterea nivelului de instruire pentru membrii grupului tinta, precum si conectarea celor doua comune la retele tematice de
dezvoltare locala si comunitara</t>
  </si>
  <si>
    <t>Albesti, Saschiz</t>
  </si>
  <si>
    <t>Federația Galurilor Urbane</t>
  </si>
  <si>
    <t>Capacitarea membrilor ONG-urilor pentru implicare activă în luarea deciziilor la nivel local</t>
  </si>
  <si>
    <t>1, 4, 5, 7</t>
  </si>
  <si>
    <t>Bacău, Olt, Caraș-Severin, Brașov</t>
  </si>
  <si>
    <t>Asociația pentru Asistență Socială " Universul Copiilor Speciali" Pitești</t>
  </si>
  <si>
    <t>Promovare și sprijin în scopul creșterii spiritului civic la nivelul județului Argeș</t>
  </si>
  <si>
    <t>ASOCIAȚIA BASARABII</t>
  </si>
  <si>
    <t>Dezvoltarea brandului localității Hotarele ca parte a strategiei de dezvoltare locală</t>
  </si>
  <si>
    <t>Hotarele</t>
  </si>
  <si>
    <t>ASOCIAȚIA ”LIBEREI ATITUDINI”</t>
  </si>
  <si>
    <t>Cetățenie activă la Spulber</t>
  </si>
  <si>
    <t>Spulber</t>
  </si>
  <si>
    <t>Obiectivul general al proiectului este reprezentat de consolidarea capacitatii organizatiilor non-guvernamentale de a se implica în
formularea si promovarea dezvoltarii la nivel local.
Obiectivele specifice ale proiectului
1. Realizarea cursurilor de formare pentru dezvoltarea echilibrata a organizatiilor neguvernamentale, pentru ca, ulterior, acestea sa
functioneze intr-o maniera sustenabila si sa actioneze in sistem de network, fiind capabile de a se implica in formularea si
promovarea dezvoltarii la nivel local.
2. Realizarea de proceduri, mecanisme pentru sustinerea si promovarea dezvoltarii la nivel local si de interactiune cu autoritatile si
institutiile administratiei publice si de consolidare a dialogului social si civic pentru dezvoltarea de parteneriate intre ONGuri/
parteneri sociali si autoritati locale in vederea sustinerii si promovarii dezvoltarii la nivel local.</t>
  </si>
  <si>
    <t>Obiectivul general al proiectului consta în cresterea gradului de responsabilizare si implicare civica în beneficiul comunitatilor din judetul
Arges, prin crearea unei retele de suport comunitar bazate pe voluntariat si prin implementarea de actiuni menite sa contribuie la
promovarea si respectarea valorilor democratice si a drepturilor omului.
Obiectivele specifice ale proiectului
1. Cresterea capacitatii organizationale a Asociatiei pentru Asistenta Sociala ”Universul Copiilor Speciali”, prin construirea unui
dialog sustenabil cu societatea civila si administratia publica din judet.
2. Promovarea voluntariatului ca forma de cetatenie activa, benevola, în sprijinul persoanei si al comunitatii.
3. Crearea unei retele comunitare de suport (voluntari), care sa sprijine autoritatile administratiei publice locale în procesul de
identificare a nevoilor sociale ale persoanelor/grupurilor vulnerabile si de propunere/aplicare a unor solutii menite sa ridice
standardul de calitate a vietii acestora.
4. Cresterea gradului de constientizare privind egalitatea de sanse si nediscriminarea în comunitate, precum si a obiectivelor de
dezvoltare durabila.
5. Consolidarea parteneriatului între societatea civila si administratia publica prin actiuni constante de implicare reciproca în viata
comunitatii, în vederea promovarii respectarii valorilor democratice si a drepturilor omului, a prevenirii marginalizarii sociale si
discriminarii, cu precadere pe criterii de dizabilitate.
6. Cresterea gradului de cunoastere si promovare a respectarii drepturilor si demnitatii persoanelor aflate în dificultate, cu precadere
a persoanelor cu dizabilitati, prin elaborarea si diseminarea unui ghid privind drepturile persoanelor cu dizabilitati, inclusiv
modalitatile de accesare a acestora, precum si a unui instrument/proceduri de monitorizare a activitatii asistentilor personali de
catre autoritatile publice locale.</t>
  </si>
  <si>
    <t>Obiectivul principal al proiectului il reprezinta cresterea implicarii cetatenilor în comunitate si în procesul de luare a deciziilor (cetatenie
activa) prin instrumentul ”Branding local”, elaborarea strategiei de dezvoltare locala si crearea unui parteneriat între autoritatea locala
(Primaria Com. Hotarele, jud. Giurgiu) si Asociatia Basarabii în vederea implementarii conceptului.
Obiectivele specifice ale proiectului
1. Realizarea strategiei de dezvoltare locala a Com. Hotarele, jud. Giurgiu, prin instrumentul Branding local - Crearea unui Consiliu
de brand local cu implicarea cetatenilor si a alesilor locali;
2. Dezvoltarea si implementarea mecanismelor de consultare a autoritatilor si institutiilor publice cu ONG-urile, în elaborarea
strategiei de dezvoltare la nivel local prin realizarea unei cercetari sociologice cantitative si calitative realizata la nivel local.
3. Integrarea strategiei de Branding local (place branding) in strategia de dezvoltare locala si crearea premiselor pentru
implementarea acesteia in cadrul Parteneriatului pentru Dezvoltare locala intre Asociatia BASARABII si Com. HOTARELE, jud.
Giurgiu</t>
  </si>
  <si>
    <t>Obiectivul general al proiectului consta în dezvoltarea capacitatii de cooperare intre societatea civila si administratia publica locala, prin
dezvoltarea unui Parteneriat pentru dezvoltare locala, pentru implementarea unor masuri adaptate nevoilor comunitatii rurale, în vederea
cresterii accesului cetatenilor la procesul de luare a deciziilor si la servicii comunitare de calitate.
Obiectivele specifice ale proiectului
1. OS1. Consolidarea dialogului social la nivelul comunei Spulber, prin realizarea unei platforme civice online, accesibila tuturor
cetatenilor comunei, pentru depunerea de propuneri în vederea realizarii Strategiei de Dezvoltare Locala si a Planului de actiune
pentru urmatoarea perioada si în scopul urmaririi în timp real a implementarii acestora, precum si prin crearea de instrumente
online pentru cetateni si societatea civila de a se implica in procesul de luare a deciziilor
2. OS2. Cresterea gradului de implicare a cetatenilor comunei Spulber in viata comunitatii, prin facilitarea participarii la intalniri
cetatenesti pentru locuitorii comunei, prin asigurarea accesului a 40 de persoane la sesiuni de instruire specifice si prin
participarea a 6 persoane la o vizita de studiu intr-o tara UE
3. OS3. Reducerea birocratiei prin informatizarea operatiunilor administratiei locale în relatia cu cetatenii
Obiectivele contribuie la realizarea R4 al Cererii de proiecte POCA/659/2/1 (CP14/2021 pentru regiunile mai putin dezvoltate) -
Consolidarea capacitatii ONG-urilor si partenerilor sociali de a se implica în formularea si promovarea dezvoltarii la nivel local:
Capacitate crescuta a ONG-urilor si partenerilor sociali de a se implica în formularea si promovarea dezvoltarii la nivel local.</t>
  </si>
  <si>
    <t>AA1/19.08.2019       AA2/14.08.2020 durata AA3/6.07.2021 buget AA4/10.08.2021 durata  AA5/16.08.2022 durata</t>
  </si>
  <si>
    <t>AA1/15.07.2020   AA2/29.09.2020 durata AA3/7.08.2021 durata AA4/25.10.2021 durata si buget   AA5/17.08.2022 durata</t>
  </si>
  <si>
    <t>AA1/23.12.2020 durata si buget AA2/13.04.2021 durata          AA3/17.08.2022 durata si buget</t>
  </si>
  <si>
    <t>AA2/12.08.2021 durata  AA3/14.04.2022 durata AA4/19.08.2022 durata</t>
  </si>
  <si>
    <t>AA1/21.01.2022 durata     AA2/19.08.2022 durata</t>
  </si>
  <si>
    <t>AA1/22.09.2020 buget AA2/2.08.2021durata    AA3/5.04.2022 durata   AA4/19.08.2022 durata si buget</t>
  </si>
  <si>
    <t>ASOCIAȚIA DE DEZVOLTARE INTERCOMUNITARĂ ECOLECT GROUP</t>
  </si>
  <si>
    <t>Aplicație integrată privind managementul deșeurilor în județul Bihor</t>
  </si>
  <si>
    <t>ASOCIATIA "SOCIETATEA DE CERCETARE ÎN LEADERSHIP, MANAGEMENT, MARKETING ȘI CULTURĂ
ORGANIZAȚIONALĂ"</t>
  </si>
  <si>
    <t>Implicați activ pentru dezvoltarea comunei Șopârlița</t>
  </si>
  <si>
    <t>Craiova, Sopârlita</t>
  </si>
  <si>
    <t>ASOCIAȚIA SOCIAL ALERT</t>
  </si>
  <si>
    <t>Implicarea Asociației SOCIAL ALERT în creșterea capacității a 10 ONG-uri și parteneri sociali în domeniul dezvoltării antreprenoriale a familiilor tinere, prin implicarea inovativă a acestora în formularea și dezvoltarea locală la nivelul Orașului Țăndărei din Județul Ialomița</t>
  </si>
  <si>
    <t>Obiectivul general al proiectului: Cresterea capacitatii a 10 ONG-uri si parteneri sociali din Regiunea Sud-Muntenia, pentru a formula si
promova dezvoltarea inovativa la nivel local prin dezvoltarea competentelor antreprenoriale la nivelul familiilor tinere din localitatea
Tandarei, Jud. Ialomita, prin prisma oportunitatilor Romaniei in noul context european 2021-2027, in decurs de 6 luni
Obiectivele specifice ale proiectului
1. OS1. Dezvoltarea capacitatii a 10 ONG-uri si parteneri sociali din Regiunea Sud-Muntenia de a se implica in formularea si
promovarea dezvoltarii la nivel local prin organizarea a 2 sesiuni de instruire in domeniul dezvoltarii locale durabile prin
dezvoltarea tinerelor familii din punct de vedere antreprenorial prin prisma oportunitatilor Romaniei in noul context european
2021-2027,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80 de persoane din Regiunea Sud-Muntenia, in decurs de 4 luni
3. OS3. Sustinerea si promovarea dezvoltarii tinerelor familii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tinerelor familii, pe parcursul a 5 luni
5. OS5. Dezvoltarea de instrumente de monitorizare si evaluare independenta a politicilor si strategiilor la nivel local in domeniul
sustinerii antreprenoriatului in randul tinerelor familii, ca factor de dezvoltare locala sustenabila si inteligenta, in decurs de 6 luni</t>
  </si>
  <si>
    <t>Țăndărei</t>
  </si>
  <si>
    <t>PATRONATUL UNPR - BANAT</t>
  </si>
  <si>
    <t>Dezvoltarea comunei Giarmata, Timiș, prin implicarea partenerilor sociali</t>
  </si>
  <si>
    <t>Giarmata</t>
  </si>
  <si>
    <t>Asociația Culturală ARTMANIA</t>
  </si>
  <si>
    <t>Dezvoltarea capacității organizatorice în domeniul cultural-muzical a județului Sibiu</t>
  </si>
  <si>
    <t>Obiectiv general: Cresterea capacitatii ADI Ecolect Group Bihor si a partenerilor sociali de a se implica în formularea si promovarea
dezvoltarii la nivel local.
Scop: Constientizarea si educarea populatiei din judetul Bihor prin intermediul unei aplicatii integrate de management al deseurilor,
cresterea gradului de implicare a ADI Ecolect Group Bihor si a partenerilor sociali in introducerea de sisteme si standarde comune în
administratia publica privind o gestionare eficienta a sistemului de management integrat al deseurilor.
Obiectivele specifice ale proiectului
1. Realizarea unui parteneriat social pentru dezvoltare locala functional, pe o perioada de cel putin 12 luni de la data finalizarii
perioadei de implementare a proiectului, între ADI Ecolect Group Bihor, UAT Judetul Bihor, primariile din judetul Bihor si
operatorii de salubritate prin intermediul Platformei electronice integrate de management al deseurilor precum si prin formarea
profesionala continua a personalului acestora, cu atributii în protectia mediului si managementul deseurilor.
2. Îmbunatatirea capacitatii de gestionare a deseurilor la nivelul jud Bihor prin dezvoltarea unei aplicatii integrate privind
managementul deseurilor
3. Cresterea capacitatii de gestionare a deseurilor prin instruirea a 105 persoane in domeniul managementului deseurilor</t>
  </si>
  <si>
    <t>Obiectivul general al proiectului este consolidarea capacitatii ASOCIATIEI "SOCIETATEA DE CERCETARE IN LEADERSHIP,
MANAGEMENT, MARKETING SI CULTURA ORGANIZATIONALA" si a partenerilor sociali de a se implica în formularea si promovarea
dezvoltarii la nivel local în comuna Sopârlita.
Obiectivele specifice ale proiectului
1. Realizarea de instrumente de monitorizare si evaluare independenta a politicilor si strategiilor de dezvoltare a comunei Soparlita
2. Realizarea de proceduri, mecanisme pentru sustinerea si promovarea dezvoltarii la nivel local si de interactiune cu autoritatile si
institutiile administratiei publice din comuna Soparlita
3. Dezvoltarea si implementarea mecanismelor de consultare a autoritatilor si institu?iilor publice din comuna Soparlita cu ONGurile,
partenerii sociali si a cetatenilor în elaborarea politicilor si strategiilor la nivel local
4. Dezvoltarea de mecanisme, proceduri, instrumente de consolidare a dialogului social si civic la nivelul comunei Soparlita
5. Dezvoltarea capacitatii Asociatiei "Societatea de Cercetare în Leadership, Management, Marketing si Cultura Organizationala", a
partenerilor sociali din comuna Soparlita si a ONG-urilor din judetul Dolj de a se implica in formularea si promovarea dezvoltarii la
nivel local
6. Sprijinirea de initiative de dezvoltare a responsabilitatii civice, de implicare a comunitatilor locale din comuna Soparlita</t>
  </si>
  <si>
    <t>Cresterea capacitatii ONG-urilor si a partenerilor sociali de a se implica in formularea si promovarea politicilor de dezvoltare a mediului de
afaceri local al comunei Giarmata, judet Timis,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Giarmata, Timis;
2. Cresterea capacitatii unui numar de 34 de persoane (reprezentanti ai ONG-urilor si partenerilor sociali) de a se implica in
formularea si promovarea de propuneri pentru dezvoltarea mediului de afaceri local al comunei Giarmata, Timis prin dezvoltarea
de competente de educatie financiara si planificare strategica;
3. Dezvoltarea Strategiei de dezvoltare locala a comunei Giarmata, Timis,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Giarmata, Timis, si pentru inaintarea propunerilor alternative la politicile publice locale curente.</t>
  </si>
  <si>
    <t>Obiectivul general al proiectului consta in cresterea capacitatea ONG-urilor de a se implica în formularea si promovarea dezvoltarii la nivel
local prin implicarea activa a 10 ONG-uri si si parteneri sociali in formularea unei strategii de dezvoltare a capacitatii organizatorice în
domeniul cultural-muzical.
Obiectivele specifice ale proiectului
1. O.S. 1 - Elaborarea unei Strategii de Dezvoltare a capacitatii organizatorice în domeniul cultural-muzical a judetului Sibiu si unui
set de masuri de monitorizare independenta, evaluare comunicare a rezultatelor acesteia.
Proiectul prevede elaborarea unei strategii de dezvoltare in domeniul prezentat, precum si modul in care se poate face o
monitorizare si evaluare independenta a rezultatelor acesteia , precum si comunicarea rezultatelor.
O.S. 1 va fi atins prin implementarea A1 si obtinerea rezultatelor asteptate R1, R2
2. O.S. 2 - Cresterea capacitatii a 10 ONG-uri si parteneri sociali care activeaza în domeniul cultural-muzical de a organiza
evenimente de mare anvergura domeniul cultural-muzical .
Participarea a 5a persoane din GT la workshop-uri de specialitate va permite dobandirea de cunostinte terotice si practice
referitoare la toate componentele ce concura la realizarea unui eveniment de anvergura.
O.S. 2 va fi atins prin implementarea A3, A4 si obtinerea rezultatelor asteptate R3</t>
  </si>
  <si>
    <t>Soluții digitale pentru Sectorul 5 al Municipiului București</t>
  </si>
  <si>
    <t>Obiectivul general consta în consolidarea capacitatii administrative a Primariei Sectorului 5, din Regiunea mai dezvoltata Bucuresti-Ilfov,
prin masuri de planificare strategica (elaborare Strategie SMART CITY) si prin simplificarea procedurilor administrative în sensul
dezvoltarii si implementarii unei aplicatii informatice pentru alocare si gestionare fonduri nerambursabile locale din fonduri publice pentru
activitati nonprofit de interes general.
Obiectivele specifice ale proiectului
1. OS1: Dezvoltarea capacitatii de planificare strategica care sa permita construirea unui plan de dezvoltare si modernizare a
Sectorului 5 prin realizarea Strategiei SMART CITY pentru perioada 2023 – 2030.
OS 1 se va îndeplini prin Activitatea 1, este atins ca urmare a obtinerii rezultatelor de proiect 1 si va conduce la atingerea
rezultatului de program POCA R1.
2. OS2. Implementarea la nivelul Institutiei a masurilor de simplificare a procedurilor administrative si reducerea birocratiei pentru
cetateni în sensul dezvoltarii unei aplicatii/platforme informatice pentru gestionare fonduri nerambursabile locale din fonduri
publice alocate pentru activitati nonprofit de interes general.
OS 2 se va îndeplini prin activitatea 2 si este atins ca urmare a obtinerii rezultatelor de proiect 2 si va conduce la atingerea
rezultatului de program POCA R3.
3. OS 3: Imbunatatirea competentelor profesionale si certificarea unui numar de 25 de persoane din cadrul institutiei cu privire la
gestionarea si utilizarea paltformei informatice dezvoltate.
OS 3 se va îndeplini prin subactivitatea 2.2, este atins ca urmare a obtinerii rezultatelor de proiect 3 si va conduce la atingerea
rezultatului de program POCA R5.</t>
  </si>
  <si>
    <t>AA1/16.02.2022 durata si buget    AA2/22.08.2022 durata</t>
  </si>
  <si>
    <t>AA1/24.08.2022 durata</t>
  </si>
  <si>
    <t>Asociația de Dezvoltare Economică și Regională - A.D.E.R.</t>
  </si>
  <si>
    <t>Bucovina: Regenerare rurală prin implicarea comunității</t>
  </si>
  <si>
    <t>Optimizarea proceselor orientate catre beneficiarii dezvoltarii durabile a spatiului rural, prin adaptarea structurii si mandatului administratiei la nevoile de protejare si valorizare a patrimoniului local.
Patrimoniul local, desi bogat si cu potential de sustinere a dezvoltarii locale, poate fi sustinut doar prin protejarea resurselor patrimoniale
valoroase si dezvoltarea unui turism sustenabil.
Obiectivele specifice ale proiectului
1. OS1:
Cresterea capacitatii ONG-urilor si autoritatii publice locale de a formula masuri in domeniul dezvoltarii durabile a spatiului rural,
cu implicarea comunitatii si partenerilor sociali, prin organizarea unei dezbateri, dezvoltarea si propunerea unor metodologii de
cercetare si inventariere/interpretare a resurselor valoroase ale patrimoniului construit si patrimoniului natural, a unei platforme de
comunicare online cu caracter permanent pentru actorii principali din domeniul patrimoniului, crearea de minim 12 parteneriate
intre ONG-uri/parteneri sociali si autoritati locale si constituirea unui consiliu consultativ PACT.
2. OS2:
Imbunatatirea capacitatii a 60 de participanti din cadrul ONG-urilor, partenerilor sociali, actorilor sociali, alesi locali, personal din
autoritatile si institutiile publice locale, de a activa ca facilitatori comunitari si de a coordona dezvoltarea de proiecte de dezvoltare
strategica pentru regenerarea rurala, prin organizarea de programe de formare in domeniile:
- Managementul proiectelor comunitare cu abordarea participativa;
- Formare si organizare comunitara;
- Managementul destinatiilor din mediul rural.
3. OS3:
Cresterea gradului de informare si constientizare a societatii civile privind implicarea comunitatii in viata publica si participarea la
procesele decizionale, prin diseminarea la nivel extins a practicilor identificate si a instrumentelor realizate in program.</t>
  </si>
  <si>
    <t>Cacica, Fundu Moldovei, Manastirea Humorului, Panaci, Stampei, Putna, Sucevita, Vatra Moldovitei</t>
  </si>
  <si>
    <t>ASOCIAȚIA PERSOANELOR CU HANDICAP SPORTING CLUB GALAȚI</t>
  </si>
  <si>
    <t>DA – pentru dezvoltare locala! DA – pentru ONGuri active in comunitate!</t>
  </si>
  <si>
    <t>1. FEDERATIA PENTRU ACCESIBILIZAREA ROMANIEI                                          2. ASOCIAŢIA CONSULTANŢILOR ŞI EXPERŢILOR ÎN ECONOMIE SOCIALĂ ROMÂNIA</t>
  </si>
  <si>
    <t>Obiectivul general: Cresterea capacitatii operationale a ONGurilor, din Galati, pentru a se implica activ si relevant in implementarea de
initiative si parteneriate intre diversi actori, inclusiv autoritati publice, in vederea facilitarii dezvoltarii locale, in diverse arii de actiune
(social, educatie, drepturile omului, ocupare, economie sociala, sanatate etc.).
Obiectivele specifice ale proiectului
1. OS1 Stimularea dezvoltarii capacitatii de a promova&amp;facilita dezvoltarea la nivel local, prin cooperare&amp;actiuni comune, pe baza
de mecanisme si instrumente inovative, cu cel putin 12 actori institutionali (ONGuri+autoritati/institutii publice).
2. OS2 Dezvoltarea abilitatilor si competentelor practice a cel putin 30 reprezentanti ONGuri, in a promova si sustine initiative
concrete&amp;relevante de dezvoltare locala in diverse arii de actiune (social, educatie, drepturile omului, ocupare, economie sociala,
sanatate, sport&amp;timp liber, cultura etc.).</t>
  </si>
  <si>
    <t>ASOCIAȚIA COMUNELOR DIN ROMÂNIA</t>
  </si>
  <si>
    <t>Cooperare digitală pentru dezvoltarea locală</t>
  </si>
  <si>
    <t>ASOCIAȚIA INTELLISOFT</t>
  </si>
  <si>
    <t>Baia Mare, Vulcana-Bai</t>
  </si>
  <si>
    <t>Maramureș , Dâmbovita</t>
  </si>
  <si>
    <t>OBIECTIV GENERAL: Consolidarea capacitatii ONG-urilor partenere de a relationa cu administratiile publice locale din mediul rural prin
intermediul colaborarii digitale, pe parcursul a 14 luni, cu scopul de a sprijini valorificarea digitalizarii ca mecanism de facilitare a
dezvoltarii locale rurale.
Obiectivele specifice ale proiectului
1. Implementarea unui mecanism de interactiune si consultare publica intre ONG-uri, autoritati publice si cetateni pentru a incuraja
dialogul social si civic (sub forma unui instrument digital de tip platforma de comunicare online) si a unui modul de e-learning, care
vor fi introduse in circuitul de utilizare al membrilor Parteneriatului de dezvoltare locala.
2. Realizarea unui instrument de evaluare a gradului de dezvoltare digitala locala (studiu de digitalizare a comunelor din Romania,
de tip diagnoza), care va fi diseminat la nivel national, pentru a evalua si ilustra nevoia de digitalizare a UAT-urilor la nivelul
comunelor din Romania.
3. Formarea si certificarea unui grup tinta de 292 persoane (10 reprezentanti ai ONG-urilor si 282 reprezentanti ai administratiilor
publice locale din mediul rural) prin organizarea unor ateliere de instruire pe teme de digitalizare, pentru a dezvolta competentele
digitale ale acestora, in vederea consolidarii capacitatii grupului tinta de a se implica in mod colaborativ in initiative de dezvoltare
28
locala bazate pe digitalizare.
4. Elaborarea unui manual de digitalizare adecvat specificului comunelor din Romania, ca procedura de sustinere si promovare a
dezvoltarii locale digitale in mediul rural, care va fi diseminat public, la nivel national, inclusiv autoritatilor publice competente.</t>
  </si>
  <si>
    <t>ASOCIAȚIA ”DRAG DE HAȚEG”</t>
  </si>
  <si>
    <t>IDensus - Construcție de brand prin participarea comunității</t>
  </si>
  <si>
    <t>ASOCIAȚIA DE TURISM RETEZAT</t>
  </si>
  <si>
    <t>Densus</t>
  </si>
  <si>
    <t>Asociația de Ecoturism din România</t>
  </si>
  <si>
    <t>Creșterea capacității de management durabil a destinației turistice Brașov la nivelul județului și al municipiului</t>
  </si>
  <si>
    <t>Incubatorul participării tinerilor</t>
  </si>
  <si>
    <t>Timis</t>
  </si>
  <si>
    <t>Asociația "Cercul de la București"</t>
  </si>
  <si>
    <t>Creșterea capacității a 10 ONG-uri și parteneri
sociali în domeniul dezvoltării tinerilor antreprenori și implicarea inovativă a acestora în
formularea și dezvoltarea locală la nivelul Comunei Munteni Buzău din Județul Ialomița</t>
  </si>
  <si>
    <t>Munteni-Buzau</t>
  </si>
  <si>
    <t xml:space="preserve">Obiectivul general al proiectului: Cresterea capacitatii a 20 ONG-uri si parteneri sociali din Regiunea Sud-Muntenia pentru a formula si
promova dezvoltarea inovativa la nivel local cu accent pe dezvoltarea competentelor antreprenoriale ale tineretului prin prisma
oportunitatilor Romaniei in noul context european 2021-2027, in decurs de 6 luni
Obiectivele specifice ale proiectului
1. OS1. Dezvoltarea capacitatii a 20 ONG-uri si parteneri sociali din Regiunea Sud-Muntenia de a se implica in formularea si
promovarea dezvoltarii la nivel local prin organizarea a 3 sesiuni de instruire in domeniul dezvoltarii locale durabile prin
dezvoltarea tineretului din punct de vedere antreprenorial tinand cont de oportunitatile Romaniei in noul context european 2021-
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100 de persoane din Regiunea Sud-Muntenia, in decurs de 4 luni
3. OS3. Sustinerea si promovarea dezvoltarii tinerilor la nivel local prin facilitarea interactiunii acestora cu autoritatile si institutiile
administratiei publice 
4. OS4. Dezvoltarea de mecanisme si instrumente de consolidare a dialogului social si civic prin elaborarea 1 platforme online in
vederea dezvoltarii locale durabile prin sustinerea antreprenoriatului in randul tinerilor, pe parcursul a 5 luni
5. OS5. Dezvoltarea de instrumente de monitorizare si evaluare independenta a politicilor si strategiilor la nivel local in domeniul
sustinerii tinerilor antreprenori, ca factor de dezvoltare locala sustenabila si inteligenta, in decurs de 6 luni
</t>
  </si>
  <si>
    <t>Implicarea Asociației SOCIAL ALERT în creșterea
capacității a 10 ONG-uri și parteneri sociali în domeniul dezvoltării antreprenoriale a familiilor
tinere, prin implicarea inovativă a acestora în formularea și dezvoltarea locală la nivelul comunelor
Tunari și Ștefăneștii de Jos din Județul Ilfov</t>
  </si>
  <si>
    <t>Stefanestii de Jos, Tunari</t>
  </si>
  <si>
    <t>Obiectivul general al proiectului: Cresterea capacitatii a 10 ONG-uri si parteneri sociali din Regiunea Bucuresti-Ilfov, pentru a formula si
promova dezvoltarea inovativa la nivel local prin dezvoltarea competentelor antreprenoriale la nivelul familiilor tinere din localitatile Tunari
si Stefanestii de Jos, prin prisma oportunitatilor Romaniei in noul context european 2021-2027, in decurs de 6 luni
1. OS1. Dezvoltarea capacitatii a 10 ONG-uri si parteneri sociali din Regiunea Bucuresti-Ilfov de a se implica in formularea si
promovarea dezvoltarii la nivel local prin organizarea a 2 sesiuni de instruire in domeniul dezvoltarii locale durabile prin
dezvoltarea tinerelor familii din punct de vedere antreprenorial prin prisma oportunitatilor Romaniei in noul context european
2021-2027,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80 de persoane din Regiunea Bucuresti-Ilfov, in decurs de 4 luni                                                                                                                        3. OS3. Sustinerea si promovarea dezvoltarii tinerelor familii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tinerelor familii, pe parcursul a 5 luni
5. OS5. Dezvoltarea de instrumente de monitorizare si evaluare independenta a politicilor si strategiilor la nivel local in domeniul
sustinerii antreprenoriatului in randul tinerelor familii, ca factor de dezvoltare locala sustenabila si inteligenta, in decurs de 6 luni</t>
  </si>
  <si>
    <t>ASOCIAȚIA "PROGRESSON"</t>
  </si>
  <si>
    <t>Implicarea Asociației PROGRESSON în creșterea
capacității a 25 ONG-uri și parteneri sociali în domeniul dezvoltării tinerilor antreprenori, prin
implicarea inovativă a acestora în formularea și dezvoltarea locală la nivelul Comunelor Jilava, 1
Decembrie și Vidra din Județul Ilfov</t>
  </si>
  <si>
    <t>1 Decembrie, Jilava, Vidra</t>
  </si>
  <si>
    <t>Obiectivul general al proiectului: Cresterea capacitatii a 25 de ONG-uri si parteneri sociali din Regiunea Bucuresti-Ilfov, pentru a formula si
promova dezvoltarea inovativa la nivel local cu accent pe dezvoltarea competentelor antreprenoriale ale tineretului prin prisma
oportunitatilor Romaniei in noul context european 2021-2027, in decurs de 6 luni.                                                                                                                     OS1. Dezvoltarea capacitatii a 25 de ONG-uri si parteneri sociali din Regiunea Bucuresti-Ilfov de a se implica in formularea si
promovarea dezvoltarii la nivel local prin organizarea a 2 sesiuni de instruire in domeniul dezvoltarii locale durabile prin
dezvoltarea tineretului din punct de vedere antreprenorial tinand cont de oportunitatile Romaniei in noul context european 2021-
2027, pe parcursul 1 luni                                                                                                                                                                                                                                OS2. Dezvoltarea responsabilitatii civice, de implicare a comunitatilor locale in viata publica si de participare la procesele
decizionale, de promovare a egalitati de sanse si nediscriminarii, precum si a dezvoltarii durabile, prin informarea si
constientizarea a 100 de persoane din Regiunea Bucuresti-Ilfov, in decurs de 4 luni                                                                                                                    OS3. Sustinerea si promovarea dezvoltarii tinerilor la nivel local prin facilitarea interactiunii acestora cu autoritatile si institutiile
administratiei publice prin realizarea 1 Strategii de comunicare si a 1 Ghid in acest sens, in decurs de 2 luni                                                                         OS4. Dezvoltarea de mecanisme si instrumente de consolidare a dialogului social si civic prin elaborarea 1 platforme online in
vederea dezvoltarii locale durabile prin sustinerea antreprenoriatului in randul tinerilor, pe parcursul a 5 luni                                                                      OS5. Dezvoltarea de instrumente de monitorizare si evaluare independenta a politicilor si strategiilor la nivel local in domeniul
sustinerii tinerilor antreprenori, ca factor de dezvoltare locala sustenabila si inteligenta, in decurs de 6 luni</t>
  </si>
  <si>
    <t>FEDERAȚIA ASOCIAȚIILOR COMPANIILOR DE UTILITĂȚI DIN ENERGIE</t>
  </si>
  <si>
    <t>Dialog social pentru un județ ”verde</t>
  </si>
  <si>
    <t>ASOCIAȚIA HELP AUTISM</t>
  </si>
  <si>
    <t>Bune practici în parteneriate public-private
pentru intervenția în TSA și alte problematici sociale</t>
  </si>
  <si>
    <t>SOCIETATEA NATIONALĂ DE CRUCE ROȘIE DIN ROMÂNIA - FILIALA SECTORULUI 3 BUCUREȘTI</t>
  </si>
  <si>
    <t>Voluntar 3.00 - rețele de voluntariat pentru asistență umanitară în Sectorul 3 Municipiul București</t>
  </si>
  <si>
    <t>Obiectivul general al proiectului „Voluntar 3.00 - retele de voluntariat pentru asistenta umanitara in Sectorul 3 Municipiul Bucuresti” consta
în cresterea capacitatii organizationale a SNCRR Filiala Sector 3 de a se implica în formularea unui instrument comun de interventie in
caz de dezastru/situatie de criza la nivelul Sectorului 3 si totodata dezvoltarea de abilitati si competente in randul voluntarilor, ce vin in
sprijinul comunitatii in caz de dezastru/situatie de criza. 
Obiectivele specifice ale proiectului
1. OS1. Cresterea capacitatii organizationale a SNCRR Filiala Sector 3 prin construirea unui dialog sustenabil cu societatea civila si
administratia publica;
2. OS2. Cresterea gradului de constientizare a rolului societatii civile in comunitate prin elaborarea unui instrument comun privind
interventia in caz de dezastru/situatie de urgenta respectiv o retea sustenbaila de voluntari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Sectorul 3 prin incheierea a minim 50 de contracte de voluntariat ce vor constitui
instrumentul de baza in asigurarea asistentei comunitare la nivelul Sectorului 3.
6. OS6. Cresterea gradului de constientizare privind egalitatea de sanse si nediscriminarea in in comunitate precum si a protectiei
mediului prin promovarea obiectivelor de dezvoltare durabila</t>
  </si>
  <si>
    <t>AA1/19.05.2021 durata  AA2/31.08.2022 durata si ue, cb</t>
  </si>
  <si>
    <t>AA1/30.08.2022 durata</t>
  </si>
  <si>
    <t>AA1/31.08.2022  ue, bn, cb</t>
  </si>
  <si>
    <t>AA1/30.08.2022 durata si buget (inclusiv neeligibil)</t>
  </si>
  <si>
    <t>Cresterea capacitatii Asociatiei Drag de Hateg si a Asociatiei de Turism Retezat de a se implica în formularea si promovarea dezvoltarii în
comuna Densus
Obiectivele specifice ale proiectului
1. OS1: Recrutarea si formarea a 20 persoane (GT) in domeniul brandingului de localitate, din care 8 din cadrul partenerilor (ONGuri)
in proiect
2. OS2: Crearea unei strategii de identitate de brand a comunei Densus printr-o forma participativa, ca reper pentru dezvoltarea
ulterioara economica si sociala a comunei, înglobând cele mai bune practici internationale în brandingul unui loc
3. OS3: Realizarea unei mecanism de implicare a cetatenilor în sustinerea si promovarea strategiei de brand
4. OS4: Promovarea proiectului si a rezultatelor acestuia catre publicurile tinta si partile interesate</t>
  </si>
  <si>
    <t>Cresterea capacitatii de management pentru dezvoltarea durabila a turismului la nivelul destinatiilor locale si a judetului Brasov, în cadrul
parteneriatului între administratiile publice locale, sectorul privat si ONG-uri.
Obiectivele specifice ale proiectului
1. Cresterea capacitatii de management pentru dezvoltarea durabila a turismului la nivelul municipiului Brasov, prin formularea si
promovarea viziunii de dezvoltare elaborata participativ si cu expertiza nationala si internationala, cât si a unui sistem de
monitorizare turistica, aplicabile pentru urmatorii 10 ani.
2. Cresterea capacitatii de management a destinatiilor turistice din judetul Brasov, cu ajutorul expertizei nationale si internationale,
aducând sprijin pentru parteneriatul între administratiile publice, sectorul privat si ONG-uri, cu oferirea unui cadru de lucru pentru
urmatorii 10 ani.</t>
  </si>
  <si>
    <t>Obiectivul general al proiectului este de a consolida capacitatea organizatiilor non-guvernamentale de si pentru tineret de a se implica în
formularea si promovarea dezvoltarii la nivel local în domeniul tineretului (adresata tinerilor) la nivelul judetului Timis.
Obiectivele specifice ale proiectului
1. Dezvoltarea a cel putin 20 parteneriate pentru dezvoltare locala în domeniul tineretului între UAT-uri si ONG-uri la nivelul judetului
Timis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din judetul Timis, precum si o cercetare calitativa care vizeaza
identificarea exemplelor de buna practica privind cooperarea între autoritati publice si ONG-uri la nivelul judetului Timis.</t>
  </si>
  <si>
    <t>Consolidarea capacitatii ACUE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1. Identificarea, filtrarea si stabilirea masurilor necesare care vor fi concretizate intr-un ghid de bune practici pentru ONG-uri si
partenerii sociali privind transpunerea dorintelor si nevoilor cetatenilor în formularea si promovarea de politici publice si
promovarea dezvoltarii locale durabile pentru tranzitia catre o economie cu emisii scazute de carbon, cu respectarea principiilor
egalitatii de sanse, nediscriminarii si dezvoltarii durabile.                                                                                                                                                                   2. Instruirea si formarea adecvata a personalului din ONG-uri, parteneri sociali si din cadrul autoritatilor locale pentru dezvoltarea
capacitatii organizationale pentru implicare în dezvoltarea locala si perfectionarea abilitatilor si competentelor persoanelor din
grupul tinta de a identifica, formula si expune problemele de interes public local, respectiv: formarea unui numar de minim 60 de
persoane, prin cursuri si workshopuri.                                                                                                                                                                                                        3. Crearea de mecanisme pentru sustinerea si promovarea dezvoltarii la nivel local prin dialog social si civic: un cadru general de
functionare a unui Consiliu Consultativ Cetatenesc pentru Dezvoltare Locala (CCC-DL), o Retea civica locala si incheierea a
minim 5 parteneriate de tip PDL.</t>
  </si>
  <si>
    <t xml:space="preserve">Crearea premiselor pentru multiplicarea de parteneriate public – private în comunitate în domeniul serviciilor sociale pentru interventia în
problematica tulburarilor din spectrul autist (TSA) si alte problematici sociale.
Obiectivele specifice ale proiectului
1. O1 – Consolidarea capacitatii a 20 de ONG-uri furnizoare de servicii sociale (sau in curs de acreditare pentru furnizarea de
servicii sociale) din municipiul Bucuresti si judetul Ilfov de a raspunde cu servicii sociale de calitate catre beneficiarii cu TSA si alte
categorii de nevoi din comunitate, prin instruirea a 60 de persoane din personalul sau voluntarii acestor ONG-uri pe o perioada
de 12 luni.
2. O2 – Dezvoltarea unui instrument de monitorizare si evaluare independenta a politicilor si strategiilor la nivel local în domeniul
serviciilor sociale, desfasurata pe o durata de 8 luni.
</t>
  </si>
  <si>
    <t>PATRONATUL „UNPR - CENTRU TRANSILVANIA”</t>
  </si>
  <si>
    <t>Dezvoltarea comunei Augustin, județul Brașov, prin implicarea partenerilor sociali</t>
  </si>
  <si>
    <t>Augustin</t>
  </si>
  <si>
    <t>PATRONATUL „UNPR – NORD VEST”</t>
  </si>
  <si>
    <t>Dezvoltarea Comunei Recea-Cristur prin implicarea partenerilor sociali</t>
  </si>
  <si>
    <t>Recea-Cristur</t>
  </si>
  <si>
    <t>ASOCIAȚIA ”PREOCUPAȚI DE VIITOR”</t>
  </si>
  <si>
    <t>Educație civică activă pentru conservarea resurselor naturale și colectarea separată a deșeurilor în Sectorul 6</t>
  </si>
  <si>
    <t>Cresterea capacitatii ONG-urilor si a partenerilor sociali de a se implica in formularea si promovarea dezvoltarii mediului de afaceri local al
comunei Augustin, judetul Brasov,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Augustin, judetul Brasov
2. Cresterea capacitatii unui numar de 34 de persoane (reprezentanti ai ONG-urilor si partenerilor sociali) de a se implica in
formularea si promovarea de propuneri pentru dezvoltarea mediului de afaceri local al comunei Augustin, judetul Brasov, prin
dezvoltarea de competente de educatie financiara si planificare strategica
3. Dezvoltarea Strategiei de dezvoltare locala a comunei Augustin, judetul Brasov,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Augustin, judetul Brasov, si pentru inaintarea propunerilor alternative la politicile publice locale curente</t>
  </si>
  <si>
    <t>Cresterea capacitatii ONG-urilor si a partenerilor sociali de a se implica in formularea si promovarea dezvoltarii mediului de afaceri local al
Comunei Recea-Cristur, judetul Cluj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Comunei Recea-Cristur, judet Cluj.
2. Cresterea capacitatii unui numar de 34 de persoane (reprezentanti ai ONG-urilor si partenerilor sociali) de a se implica in
formularea si promovarea de propuneri pentru dezvoltarea mediului de afaceri local al Comunei Recea-Cristur, judet Cluj, prin
dezvoltarea de competente de educatie financiara si planificare strategica
3. Dezvoltarea Strategiei de dezvoltare locala a comunei Recea-Cristur, Judet Cluj,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comunei
Recea-Cristur, Judet Cluj, si pentru inaintarea propunerilor alternative la politicile publice locale curente</t>
  </si>
  <si>
    <t>Obiectivul general al proiectului îl constituie implicarea Asociatiei Preocupati de Viitor în procesul de elaborare a strategiei locale din
Sectorul 6 privind managementul deseurilor.
Scopul proiectului îl constituie promovarea managementului deseurilor la nivel local prin educarea si instruirea cetatenilor din Sectorul 6.
Obiectivele specifice ale proiectului
1. Consolidarea capacitatii interne a Asociatiei Preocupati de Viitor si a înca minim 5 ONG-uri din Sectorul 6 în vederea atragerii si
mentinerii de membri si voluntari prin:- instruirea a minim 50 membri activi în teme legate de comunicare interna si dezvoltare
organziationala, particiapre pubica si video participativ si managementul deseurilor
-instruirea a minim 30 voluntari actuali - împreuna cu 10 alesi locali si 10 angajati ai Sectorului 6 - în teme legate de participare
publica si video participativ si managementul deseurilor
-instruirea a minim 80 membri ai comunitatii (care se vor înscrie ulterior ca membr sau voluntari în minim un ONG) - împreuna cu
10 alesi locali si 10 angajati ai Sectorului 6 - în teme legate de managementul deseurilor - implicarea a 80 membri si voluntari din
ONG-urile locale în formularea si promovarea dezvoltarii la nivel local - în particular în elaborarea ”Strategiei locale privnd
manaementul deseurilor în Sectorul 6”
Îmbunatatirea capacitatii ONG-urilor implicate de a-si extinde aria de interventie si de a multiplica activitatile cu impact pozitiv la
nivelul comunitatilor din care fac parte prin: - îmbunatatirea capacitatii solicitantului si a minim alte 5 ONG-uri din Sectorului 6 si
extinderea ariei de interventie a acestora în zona dezvoltarii unor proiecte de management al deseurilor - ca urmare a instruiri
membrilor/voluntarilor în acest domeniu si a implicarii membrilor/voluntarilor în activitatile de elaborare a ”Strategiei locale privind
managementul deseurilor în Sectorul 6” printr-un proces de planificare strategica participativa ca urmare a participarii la training
specializat.</t>
  </si>
  <si>
    <t>SECTORUL 6 AL MUNICIPIULUI BUCURESTI</t>
  </si>
  <si>
    <t>SMART 6 - Planificare Strategică pentru Transformare Digitală și Energie Verde</t>
  </si>
  <si>
    <t>Consolidarea capacitatii administrative a Sectorului 6 al Municipiului Bucuresti si simplificarea procedurilor prin dezvoltarea de strategii
locale în domeniul transformarii digitale si al energiei verzi, prin digitalizarea arhivei institutionale si prin îmbunatatirea competentelor
personalului implicat în aceste domenii.
Obiectivul contribuie la atingerea obiectivului specific al POCA OS2.1: Introducerea de sisteme si standarde comune în administratia
publica locala ce optimizeaza procesele orientate catre beneficiari în concordanta cu SCAP prin sustinerea dezvoltarii unui management
performant la nivelul Sectorului 6 al Municipiului Bucuresti si a cresterii transparentei institutionale prin elaborarea documentelor strategice
locale în domeniul digitalizarii si al energiei verzi, prin retro-digitalizarea arhivei fizice existente, cât si prin cresterea nivelului
competentelor si cunostintelor personalului implicat în domeniile vizate.
Obiectivele specifice ale proiectului
1. Dezvoltarea capacitatii de planificare strategica la nivelul primariei S6 prin elaborarea strategiilor pentru transformare digitala si
pentru energie verde, ale Sectorului 6 al Municipiului Bucuresti
2. Retro-digitalizarea a 462 ml de documente din arhiva institutionala si instruirea personalului de specialitate
3. Dezvoltarea cunostintelor si abilitatilor personalului institutiei în domeniul planificarii strategice prin actiuni de instruire, schimb de
experienta si bune practici cu alte autoritati publice locale de la nivel national si din alte state membre UE</t>
  </si>
  <si>
    <t>AA1/23.10.2020 durata AA2/2.04.2021 durata si buget AA4/12.01.2022 durata si ue, bn, cb   AA5/2.09.2022 durata si ue, bn, cb</t>
  </si>
  <si>
    <t>AA1/29.04.2022 durata  AA2/22.07.2022 ue, cb AA3/2.09.2022 ue, cb</t>
  </si>
  <si>
    <t>AA1/3.12.2020 ue, bn, cb                      AA2/2.09.2022 durata si ue, bn, cb</t>
  </si>
  <si>
    <t>AA1/2.09.2022 durata si buget</t>
  </si>
  <si>
    <t>ASOCIAȚIA TURISM ISTORIC</t>
  </si>
  <si>
    <t>Patrimoniul construit, de la ruină la resursă</t>
  </si>
  <si>
    <t>Cresterea nivelului de implicare al comunitatii în activitati destinate protejarii patrimoniului cultural imobil din Regiunea Bucuresti -Ilfov prin
dezvoltarea unor mecanisme institutionale bazate pe parteneriatul între administratia publica si societatea civila
Obiectivele specifice ale proiectului
1. Cresterea capacitatii tehnice si administrative a Asociatiei Turism Istoric în vederea promovarii si coordonarii unei structuri
parteneriale colaborative formata din reprezentanti ai autoritatilor publice si ai societatii civile în vedere promovarii unui set de
politici publice destinat protejarii si promovarii patrimoniului cultural imobil
2. Dezvoltarea unei structuri parteneriale colaborative în Regiunea Bucuresti-Ilfov formata din reprezentanti ai autoritatilor publice si
ai societatii civile în vedere promovarii unui set de politici publice destinat protejarii si promovarii patrimoniului cultural imobil.</t>
  </si>
  <si>
    <t>AA1/27.04.2022 (ue, cb) AA2/5.09.2022 durata</t>
  </si>
  <si>
    <t>AA 1/06 .06.2019                    AA2/10.02.2020                      AA3/8.12.2020 durata si buget                                              AA4/6.12.2021 durata si buget                                 AA5/6.09.2022 durata</t>
  </si>
  <si>
    <t>AA1/28.07.2021 durata              AA2/6.09.2022 durata</t>
  </si>
  <si>
    <t>AA1/22.04.2021 durata   AA2/28.02.2022 durata           AA3/7.09.2022 durata</t>
  </si>
  <si>
    <t>AA1/8.09.2022 durata</t>
  </si>
  <si>
    <t>ASOCIAȚIA CENTRUL DE ACȚIUNE ȘI RESPONSABILITATE SOCIALĂ ȘI SOCIO-MEDICALĂ</t>
  </si>
  <si>
    <t>Implicarea Asociației „CENTRUL DE ACȚIUNE ȘI
RESPONSABILITATE SOCIALĂ ȘI SOCIO MEDICALĂ</t>
  </si>
  <si>
    <t xml:space="preserve">Obiectivul general al proiectului: Cresterea capacitatii a 20 de ONG-uri si parteneri sociali din Regiunea Bucuresti-Ilfov, pentru a formula si
promova dezvoltarea inovativa la nivel local cu accent pe dezvoltarea competentelor antreprenoriale ale tineretului prin prisma
oportunitatilor Romaniei in noul context european 2021-2027, in decurs de 6 luni
Obiectivele specifice ale proiectului
1. OS1. Dezvoltarea capacitatii a 20 de ONG-uri si parteneri sociali din Regiunea Bucuresti-Ilfov de a se implica in formularea si
promovarea dezvoltarii la nivel local prin organizarea a 3 sesiuni de instruire in domeniul dezvoltarii locale durabile prin
dezvoltarea tineretului din punct de vedere antreprenorial tinand cont de oportunitatile Romaniei in noul context european 2021-
2027, pe parcursul 1 luni
2. OS2. Dezvoltarea responsabilitatii civice, de implicare a comunitatilor locale in viata publica si de participare la procesele
decizionale, de promovare a egalitati de sanse si nediscriminarii, precum si a dezvoltarii durabile, prin informarea si
constientizarea a 120 de persoane din Regiunea Bucuresti-Ilfov, in decurs de 4 luni
3. OS3. Sustinerea si promovarea dezvoltarii tinerilor la nivel local prin facilitarea interactiunii acestora cu autoritatile si institutiile
administratiei publice prin realizarea 1 Strategii de comunicare si a 1 Ghid in acest sens, in decurs de 2 luni
4. OS4. Dezvoltarea de mecanisme si instrumente de consolidare a dialogului social si civic prin elaborarea 1 platforme online in
vederea dezvoltarii locale durabile prin sustinerea antreprenoriatului in randul tinerilor, pe parcursul a 5 luni
5. OS5. Dezvoltarea de instrumente de monitorizare si evaluare independenta a politicilor si strategiilor la nivel local in domeniul
sustinerii tinerilor antreprenori, ca factor de dezvoltare locala sustenabila si inteligenta, in decurs de 6 luni
</t>
  </si>
  <si>
    <t>Popesti Leordeni, Pantelimon</t>
  </si>
  <si>
    <t>ASOCIAȚIA GREUCEANU</t>
  </si>
  <si>
    <t>CONSOLIDAREA CAPACITĂȚII ASOCIAȚIEI
GREUCEANU ȘI A PRIMĂRIEI COMUNEI DOMNEȘTI DE A SE IMPLICA ÎN FORMULAREA ȘI PROMOVAREA
DEZVOLTĂRII LA NIVEL LOCAL</t>
  </si>
  <si>
    <t>Obiectivul general al proiectului il reprezinta imbunatatirea capacitatii Asociatiei de a se implica în dezvoltarea locala si sprijinirea
introducerii sistemelor si standardelor comune la nivelul comunei Domnesti pentru optimizarea proceselor orientate catre cetateni în
concordanta cu SCAP.
Obiectivele specifice ale proiectului
1. Dezvoltarea managementului organizational prin prioritizarea functiei de planificare a activitatilor.
2. Actualizarea viziunii identitare la conceptul specific administratiei publice locale, percepând propria organizatie ca pe un sistem
deschis, care îsi ajusteaza outputurile în functie de ceea ce primeste din mediu (input-uri).
3. Dezvoltarea unui sistem de comunicare eficient si eficace
4. Crearea unei strategii de dezvoltare pe termen mediu si scurt
5. Întarirea capacitatii institutionale a comunei Domnesti</t>
  </si>
  <si>
    <t>Domnesti</t>
  </si>
  <si>
    <t>AA1/12.09.2022 durata</t>
  </si>
  <si>
    <t>AA1/19.02.2020 AA2/4.12.2020 durata AA3/17.03.2021 chelt neelig                  AA4/11.11.2021 durata     AA5/12.09.2022 ue, bn, cb</t>
  </si>
  <si>
    <t>AA1/10.05.2022 buget AA2/13.09.2022 durata</t>
  </si>
  <si>
    <t>ASOCIAȚIA HAPPY PEOPLE</t>
  </si>
  <si>
    <t>Implicați, activi, competitivi</t>
  </si>
  <si>
    <t xml:space="preserve">Dezvoltarea durabila a comunei Afumati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Obiectivele specifice ale proiectului
1. Realizarea de instrumente de monitorizare si evaluare independenta a politicilor si strategiilor de dezvoltare a comunei Afumati
pe parcursul implemenarii proiectulu.
2. Realizarea de proceduri, mecanisme pentru sustinerea si promovarea dezvoltarii la nivel local si de interactiune cu autoritatile si
institutiile administratiei publice din comuna AFUMATI pe parcursul implementarii proiectului.                                                                                                              3. Dezvoltarea de mecanisme, proceduri, instrumente de consolidare a dialogului social si civic la nivelul comunei Afumati pe
parcursul implemenatarii proiectului.                                                                                                                                                                                                                                                     4.  Dezvoltarea capacitatii partenerilor sociali din comuna Afumati si a ONG-urilor din judetul Dolj prin formare profesionala, activitati
întreprinse în comun, infiintarea unor retele tematice regionale si nationale pe parcursul implementarii proiectului.                                                            5. Sprijinirea de initiative de dezvoltare a responsabilitatii civice, de implicare a comunitatilor locale din comuna AFUMATI în viata
publica si de participare la procesele decizionale, de promovare a egalitati de sanse si nediscriminarii, precum si a dezvoltarii
durabile pe parcursul implementarii proiectului.
 </t>
  </si>
  <si>
    <t>Afumati, Craiova</t>
  </si>
  <si>
    <t>AA1/23.06.2021 durata    AA2/21.09.2022 durata</t>
  </si>
  <si>
    <t>AA1/3.08.2020 durata AA2/11.02.2021 buget AA3/21.09.2021 durata si buget                    AA4/19.09.2022 durata</t>
  </si>
  <si>
    <t>AA1/13.09.2018 , AA2/16.06.2020 - durata</t>
  </si>
  <si>
    <t>AA1/8.12.2020 durata si buget                  AA2/27.10.2021 durata              AA3/19.09.2022 durata</t>
  </si>
  <si>
    <t>AA 1/24.04.2019 AA2/5.08.2021 durata               AA3/19.09.2022 durata</t>
  </si>
  <si>
    <t>AA1/7.10.2020 buget AA2/29.06.2021 buget             AA3/27.09.2022 durata si ue, bn</t>
  </si>
  <si>
    <t>AA1/27.09.2022 durata</t>
  </si>
  <si>
    <t>Soluții digitale pentru serviciile furnizate partajat de către Municipiul Galați, inclusiv retro-digitalizare arhivă</t>
  </si>
  <si>
    <t>Obiectivul general al proiectului consta în consolidarea capacitatii institutionale si eficientizarea activitatii la nivelul Municipiului Galati prin continuarea simplificarii procedurilor administrative si reducerea birocratiei pentru cetateni, implementând masuri din perspectiva backoffice (adaptarea procedurilor interne de lucru, digitalizarea arhivei) si front-office si masuri pentru îmbunatatirea planificarii strategice
pentru serviciile publice furnizate aferente competentelor partajate ale administratiei publice locale.
Obiectivele specifice ale proiectului
1. OS1. Implementarea unor masuri de simplificare pentru cetateni, în corespondenta cu Planul integrat pentru simplificarea
procedurilor administrative aplicabile cetatenilor din perspectiva front-office si back-office prin implementarea unei platforme
integrate, în scopul digitalizarii fluxurilor de lucru, reducerii timpului de procesare a cererilor cetatenilor si asigurarii accesului
online la serviciile publice gestionate partajat de Municipiul Galati din domeniul urbanismului. În subsidiar, se urmareste
dezvoltarea cunostintelor si abilitatilor personalului din cadrul Municipiului Galati în vederea sprijinirii masurilor/actiunilor vizate în
proiect (15 persoane din cadrul grupului tinta).
2. OS2. Retro-digitalizarea arhivei fizice cu valoare operationala în prezent pentru serviciile gestionate partajat (150 ml)</t>
  </si>
  <si>
    <t>AA1/30.09.2021 durata AA2/1.07.2022 durata          AA3/30.09.2022 durata</t>
  </si>
  <si>
    <t>AA1/29.09.2022 durata</t>
  </si>
  <si>
    <t>AA1/13.10.2020 ue, bn  AA2/7.10.2021 durata si buget (neeligibil)   AA4/6.10.2022 durata</t>
  </si>
  <si>
    <t>AA1/6.10.2022 durata</t>
  </si>
  <si>
    <t>AA1/14.08.2020 adugare chelt neeligibile AA2/23.12.2020 durata si buget          AA3/7.10.2022 ue, bn, cb</t>
  </si>
  <si>
    <t>AA1/5.10.2022 durata, buget (ue, bn, cb)</t>
  </si>
  <si>
    <t>AA1/7.10.2022 durata</t>
  </si>
  <si>
    <t>AA1/3.10.2022 durata</t>
  </si>
  <si>
    <t>AA1/14.10.2022 durata</t>
  </si>
  <si>
    <t>AA1/23.06.2021 durata, buget           AA2/15.10.2022 durata</t>
  </si>
  <si>
    <t>AA1/13.10.2022 durata</t>
  </si>
  <si>
    <t>MUNICIPIUL BUCURESTI</t>
  </si>
  <si>
    <t>Management performant și administrație modernă pentru cetățenii Municipiului București</t>
  </si>
  <si>
    <t>Administratia Fondului Imobiliar</t>
  </si>
  <si>
    <t xml:space="preserve">Obiectivul general al proiectului il reprezinta consolidarea capacitatii institutionale a Primariei Municipiului Bucuresti si a Administraþiei
Fondului Imobiliar in vederea cresterii performantei administratiei locale prin planificare strategica si optimizarea proceselor administrative ale institutiei si adoptarea unor masuri de simplificare a furnizarii serviciilor catre cetateni si mediul de afaceri, prin implementarea unor sisteme informatice inovative.
Obiectivele specifice ale proiectului
1. OS1. Consolidarea capacitatii de management a Primariei Municipiului Bucuresti, pentru indeplinirea functiilor sale, prin
Elaborarea Strategiei de dezvoltare a resurselor umane.
2. OS2. Simplificarea procedurilor administrative in cadrul Primariei Municipiului Bucuresti, prin implementarea unei aplicatii
informatice pentru gestionarea Resurselor umane, inclusiv servicii de retrodigitalizare si implementarea unei platforme hardware
de scanare.
3. OS3. Simplificarea procedurilor administrative si masuri de simplificare în relaþia cu cetaþenii in cadrul Administraþiei Fondului
Imobiliar prin implementarea unei platforme integrate pentru Administrarea Fondului Imobiliar care sa ofere servicii publice
electronice de informare si servicii digitale pentru cetateni, inclusiv servicii de retrodigitalizare, în perioada de implementare a
proiectului.
4. OS4. Cresterea nivelului de pregatire a personalului Primariei Municipiului Bucuresti - Administraþiei Fondului Imobiliar pentru:
dezvoltarea cunostinþelor si abilitaþilor privind Managementul strategic prin instruirea unui numar de 30 de angajati ai PMB;
utilizarea eficienta a soluþiilor informatice de resurse umane prin instruirea unui numar de 10 angajati ai PMB; utilizarea eficienta a
platformei integrate pentru Administrarea Fondului Imobiliar si servicii electronice pentru cetateni prin instruirea unui numar de 60
de angajati ai AFI, în perioada de implementare a proiectului.
</t>
  </si>
  <si>
    <t>Ordin 424/30.03.2021 durata si buget (ue, bn, cb)/                                         Ordin 1627/15.11.2021 (ue, bn, cb) /                             Ordin 726 din 5.05.2022 durata (ue, cb, bn) / Ordin 2731/21.10.2022 durata</t>
  </si>
  <si>
    <t>AA1/22.03.2022 durata      AA2/21.10.2022 durata</t>
  </si>
  <si>
    <t>AA1/20.10.2022 durata</t>
  </si>
  <si>
    <t>AA1/30.12.2021 buget            AA2/20.04.2022 buget                   AA3/18.10.2022 durata</t>
  </si>
  <si>
    <t>AA1/16.12.2021 durata   AA2/18.10.2022 durata</t>
  </si>
  <si>
    <t>AA1/28.07.2020 durata, UE+bn                         AA2/8.12.2021 durata    AA3/11.07.2022 durata     AA4/20.10.2022 durata</t>
  </si>
  <si>
    <t>AA1/25.10.2022 durata si buget</t>
  </si>
  <si>
    <t>AA1/15.05.2022 ob specific 2   AA2/25.10.2022 durata</t>
  </si>
  <si>
    <t>AA1/21.09.2021 durata      AA2/25.10.2022 durata</t>
  </si>
  <si>
    <t>AA1/25.10.2022 durata</t>
  </si>
  <si>
    <t>AA1/26.10.2022 durata</t>
  </si>
  <si>
    <t>AA1/2.11.2022 durata</t>
  </si>
  <si>
    <t>AA1/4.11.2022 durata si buget (neeligibil)</t>
  </si>
  <si>
    <t>AA1/4.11.2022 durata si buget (ue, bn, cb, cp)</t>
  </si>
  <si>
    <t>AA1/3.06.2021 durata AA2/4.10.2021 durata  AA3/23.06.2022 durata      AA4/1.11.2022 durata</t>
  </si>
  <si>
    <t>AA1/1.11.2022 durata si buget (ue, cb)</t>
  </si>
  <si>
    <t>AA1/28.07.2021 durata  AA2/22.11.2021 durata    AA3/1.11.2022 durata</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</si>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</sst>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CC66FF"/>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19">
    <xf numFmtId="0" fontId="0" fillId="0" borderId="0" xfId="0"/>
    <xf numFmtId="4" fontId="4" fillId="0" borderId="3" xfId="1" applyNumberFormat="1" applyFont="1" applyFill="1" applyBorder="1" applyAlignment="1">
      <alignment horizontal="righ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9" fontId="5" fillId="0" borderId="0" xfId="0" applyNumberFormat="1" applyFont="1"/>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5" fillId="0" borderId="3" xfId="0" applyFont="1" applyFill="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4" fontId="4"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68" fontId="4" fillId="0" borderId="3" xfId="1" applyNumberFormat="1" applyFont="1" applyFill="1" applyBorder="1" applyAlignment="1">
      <alignment horizontal="right" vertical="center" wrapText="1"/>
    </xf>
    <xf numFmtId="14" fontId="5" fillId="0" borderId="3" xfId="0" applyNumberFormat="1" applyFont="1" applyFill="1" applyBorder="1" applyAlignment="1">
      <alignment horizontal="right" vertical="center" wrapText="1"/>
    </xf>
    <xf numFmtId="4" fontId="4" fillId="0" borderId="3"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166"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4" fontId="5" fillId="0" borderId="0" xfId="0" applyNumberFormat="1" applyFont="1" applyFill="1" applyAlignment="1">
      <alignment horizontal="right"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0" fontId="5" fillId="0" borderId="3" xfId="0" applyFont="1" applyFill="1" applyBorder="1" applyAlignment="1">
      <alignment horizontal="lef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15" xfId="0" applyFont="1" applyFill="1" applyBorder="1" applyAlignment="1">
      <alignment horizontal="center"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0" fontId="5" fillId="0" borderId="0" xfId="0" applyFont="1" applyFill="1" applyAlignment="1">
      <alignment horizontal="center"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0" fontId="4" fillId="0" borderId="25" xfId="0" applyFont="1" applyFill="1" applyBorder="1" applyAlignment="1">
      <alignment horizontal="center"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168" fontId="4" fillId="0" borderId="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3"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0" fontId="5" fillId="0" borderId="0" xfId="0" applyFont="1" applyFill="1" applyAlignment="1">
      <alignment horizontal="center" vertical="center"/>
    </xf>
    <xf numFmtId="0" fontId="4" fillId="0" borderId="3" xfId="0" applyFont="1" applyFill="1" applyBorder="1" applyAlignment="1">
      <alignment horizontal="justify"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4" fillId="0" borderId="3" xfId="4" applyFont="1" applyFill="1" applyBorder="1" applyAlignment="1">
      <alignment horizontal="center" vertical="center" wrapText="1"/>
    </xf>
    <xf numFmtId="0" fontId="5" fillId="0" borderId="3" xfId="4" applyFont="1" applyFill="1" applyBorder="1" applyAlignment="1">
      <alignmen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14" fontId="4" fillId="0" borderId="3" xfId="4"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0" fontId="5" fillId="0" borderId="15" xfId="0" applyFont="1" applyFill="1" applyBorder="1" applyAlignment="1">
      <alignment horizontal="left" vertical="center" wrapText="1"/>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4" fontId="5" fillId="0" borderId="0" xfId="0" applyNumberFormat="1" applyFont="1" applyFill="1"/>
    <xf numFmtId="0" fontId="4" fillId="0" borderId="0" xfId="0" applyFont="1" applyFill="1" applyAlignment="1">
      <alignment horizontal="center" vertical="center"/>
    </xf>
    <xf numFmtId="0" fontId="5" fillId="0" borderId="0" xfId="0" applyFont="1" applyFill="1" applyAlignment="1">
      <alignment horizontal="left" vertical="center"/>
    </xf>
    <xf numFmtId="4" fontId="5"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12" fillId="0" borderId="0" xfId="0" applyFont="1" applyFill="1"/>
    <xf numFmtId="166" fontId="5" fillId="0" borderId="0" xfId="0" applyNumberFormat="1"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CC66FF"/>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897"/>
  <sheetViews>
    <sheetView tabSelected="1" zoomScale="70" zoomScaleNormal="70" workbookViewId="0">
      <pane ySplit="3" topLeftCell="A4" activePane="bottomLeft" state="frozen"/>
      <selection pane="bottomLeft" activeCell="AD6" sqref="AD6"/>
    </sheetView>
  </sheetViews>
  <sheetFormatPr defaultColWidth="9.42578125" defaultRowHeight="15.75" x14ac:dyDescent="0.25"/>
  <cols>
    <col min="1" max="1" width="7" style="179" customWidth="1"/>
    <col min="2" max="2" width="12.5703125" style="179" customWidth="1"/>
    <col min="3" max="3" width="13.42578125" style="179" customWidth="1"/>
    <col min="4" max="4" width="14.42578125" style="179" customWidth="1"/>
    <col min="5" max="5" width="18.5703125" style="179" customWidth="1"/>
    <col min="6" max="6" width="25.5703125" style="119" customWidth="1"/>
    <col min="7" max="7" width="26" style="119" customWidth="1"/>
    <col min="8" max="8" width="23.5703125" style="180" customWidth="1"/>
    <col min="9" max="9" width="135.5703125" style="179" customWidth="1"/>
    <col min="10" max="10" width="20.5703125" style="181" customWidth="1"/>
    <col min="11" max="11" width="20" style="181" customWidth="1"/>
    <col min="12" max="13" width="24.42578125" style="181" customWidth="1"/>
    <col min="14" max="14" width="31.5703125" style="181" customWidth="1"/>
    <col min="15" max="15" width="20.42578125" style="181" customWidth="1"/>
    <col min="16" max="16" width="17" style="181" customWidth="1"/>
    <col min="17" max="17" width="29.42578125" style="181" customWidth="1"/>
    <col min="18" max="18" width="26" style="179" customWidth="1"/>
    <col min="19" max="19" width="24.5703125" style="179" customWidth="1"/>
    <col min="20" max="20" width="21.5703125" style="179" customWidth="1"/>
    <col min="21" max="21" width="23.42578125" style="179" customWidth="1"/>
    <col min="22" max="22" width="24" style="182" customWidth="1"/>
    <col min="23" max="23" width="22.5703125" style="182" customWidth="1"/>
    <col min="24" max="24" width="25.42578125" style="179" customWidth="1"/>
    <col min="25" max="25" width="19.42578125" style="179" customWidth="1"/>
    <col min="26" max="27" width="19.5703125" style="179" customWidth="1"/>
    <col min="28" max="28" width="20" style="179" customWidth="1"/>
    <col min="29" max="29" width="13.42578125" style="179" customWidth="1"/>
    <col min="30" max="30" width="29" style="179" customWidth="1"/>
    <col min="31" max="31" width="18.5703125" style="179" customWidth="1"/>
    <col min="32" max="32" width="21.5703125" style="179" customWidth="1"/>
    <col min="33" max="33" width="27.5703125" style="179" customWidth="1"/>
    <col min="34" max="34" width="25" style="43" customWidth="1"/>
    <col min="35" max="35" width="23.42578125" style="179" customWidth="1"/>
    <col min="36" max="36" width="22.42578125" style="179" bestFit="1" customWidth="1"/>
    <col min="37" max="40" width="9.42578125" style="179"/>
    <col min="41" max="41" width="10" style="179" bestFit="1" customWidth="1"/>
    <col min="42" max="16384" width="9.42578125" style="179"/>
  </cols>
  <sheetData>
    <row r="1" spans="1:37 16382:16382" ht="89.25" customHeight="1" x14ac:dyDescent="0.25">
      <c r="A1" s="190" t="s">
        <v>0</v>
      </c>
      <c r="B1" s="191" t="s">
        <v>364</v>
      </c>
      <c r="C1" s="192" t="s">
        <v>1186</v>
      </c>
      <c r="D1" s="192" t="s">
        <v>8</v>
      </c>
      <c r="E1" s="192" t="s">
        <v>142</v>
      </c>
      <c r="F1" s="192" t="s">
        <v>1</v>
      </c>
      <c r="G1" s="192" t="s">
        <v>14</v>
      </c>
      <c r="H1" s="191" t="s">
        <v>156</v>
      </c>
      <c r="I1" s="193" t="s">
        <v>16</v>
      </c>
      <c r="J1" s="193" t="s">
        <v>15</v>
      </c>
      <c r="K1" s="193" t="s">
        <v>17</v>
      </c>
      <c r="L1" s="193" t="s">
        <v>18</v>
      </c>
      <c r="M1" s="193" t="s">
        <v>2</v>
      </c>
      <c r="N1" s="193" t="s">
        <v>19</v>
      </c>
      <c r="O1" s="193" t="s">
        <v>3</v>
      </c>
      <c r="P1" s="193" t="s">
        <v>4</v>
      </c>
      <c r="Q1" s="193" t="s">
        <v>20</v>
      </c>
      <c r="R1" s="194" t="s">
        <v>9</v>
      </c>
      <c r="S1" s="195"/>
      <c r="T1" s="195"/>
      <c r="U1" s="195"/>
      <c r="V1" s="195"/>
      <c r="W1" s="195"/>
      <c r="X1" s="195"/>
      <c r="Y1" s="196"/>
      <c r="Z1" s="196"/>
      <c r="AA1" s="197"/>
      <c r="AB1" s="198" t="s">
        <v>4</v>
      </c>
      <c r="AC1" s="198"/>
      <c r="AD1" s="199" t="s">
        <v>139</v>
      </c>
      <c r="AE1" s="200"/>
      <c r="AF1" s="199" t="s">
        <v>5</v>
      </c>
      <c r="AG1" s="201" t="s">
        <v>13</v>
      </c>
      <c r="AH1" s="201" t="s">
        <v>6</v>
      </c>
      <c r="AI1" s="202" t="s">
        <v>22</v>
      </c>
      <c r="AJ1" s="202"/>
    </row>
    <row r="2" spans="1:37 16382:16382" ht="15.75" customHeight="1" x14ac:dyDescent="0.25">
      <c r="A2" s="203"/>
      <c r="B2" s="204"/>
      <c r="C2" s="205"/>
      <c r="D2" s="205"/>
      <c r="E2" s="205"/>
      <c r="F2" s="205"/>
      <c r="G2" s="205"/>
      <c r="H2" s="204"/>
      <c r="I2" s="206"/>
      <c r="J2" s="206"/>
      <c r="K2" s="206"/>
      <c r="L2" s="206"/>
      <c r="M2" s="206"/>
      <c r="N2" s="206"/>
      <c r="O2" s="206"/>
      <c r="P2" s="206"/>
      <c r="Q2" s="206"/>
      <c r="R2" s="207" t="s">
        <v>10</v>
      </c>
      <c r="S2" s="208"/>
      <c r="T2" s="208"/>
      <c r="U2" s="208"/>
      <c r="V2" s="209"/>
      <c r="W2" s="210"/>
      <c r="X2" s="202" t="s">
        <v>12</v>
      </c>
      <c r="Y2" s="211"/>
      <c r="Z2" s="211"/>
      <c r="AA2" s="212" t="s">
        <v>21</v>
      </c>
      <c r="AB2" s="211"/>
      <c r="AC2" s="211"/>
      <c r="AD2" s="202"/>
      <c r="AE2" s="202" t="s">
        <v>1440</v>
      </c>
      <c r="AF2" s="202"/>
      <c r="AG2" s="213"/>
      <c r="AH2" s="213"/>
      <c r="AI2" s="202" t="s">
        <v>7</v>
      </c>
      <c r="AJ2" s="202" t="s">
        <v>23</v>
      </c>
    </row>
    <row r="3" spans="1:37 16382:16382" ht="36.75" customHeight="1" thickBot="1" x14ac:dyDescent="0.3">
      <c r="A3" s="214"/>
      <c r="B3" s="215"/>
      <c r="C3" s="205"/>
      <c r="D3" s="205"/>
      <c r="E3" s="205"/>
      <c r="F3" s="205"/>
      <c r="G3" s="205"/>
      <c r="H3" s="216"/>
      <c r="I3" s="206"/>
      <c r="J3" s="206"/>
      <c r="K3" s="206"/>
      <c r="L3" s="206"/>
      <c r="M3" s="206"/>
      <c r="N3" s="206"/>
      <c r="O3" s="206"/>
      <c r="P3" s="206"/>
      <c r="Q3" s="206"/>
      <c r="R3" s="211" t="s">
        <v>7</v>
      </c>
      <c r="S3" s="211" t="s">
        <v>150</v>
      </c>
      <c r="T3" s="211" t="s">
        <v>149</v>
      </c>
      <c r="U3" s="211" t="s">
        <v>11</v>
      </c>
      <c r="V3" s="217" t="s">
        <v>150</v>
      </c>
      <c r="W3" s="217" t="s">
        <v>149</v>
      </c>
      <c r="X3" s="202"/>
      <c r="Y3" s="211" t="s">
        <v>150</v>
      </c>
      <c r="Z3" s="211" t="s">
        <v>149</v>
      </c>
      <c r="AA3" s="218"/>
      <c r="AB3" s="211" t="s">
        <v>150</v>
      </c>
      <c r="AC3" s="211" t="s">
        <v>149</v>
      </c>
      <c r="AD3" s="202"/>
      <c r="AE3" s="202"/>
      <c r="AF3" s="202"/>
      <c r="AG3" s="213"/>
      <c r="AH3" s="213"/>
      <c r="AI3" s="202"/>
      <c r="AJ3" s="202"/>
    </row>
    <row r="4" spans="1:37 16382:16382" ht="178.5" customHeight="1" x14ac:dyDescent="0.25">
      <c r="A4" s="6">
        <v>1</v>
      </c>
      <c r="B4" s="7">
        <v>110755</v>
      </c>
      <c r="C4" s="8">
        <v>121</v>
      </c>
      <c r="D4" s="9" t="s">
        <v>1638</v>
      </c>
      <c r="E4" s="10" t="s">
        <v>277</v>
      </c>
      <c r="F4" s="11" t="s">
        <v>212</v>
      </c>
      <c r="G4" s="8" t="s">
        <v>213</v>
      </c>
      <c r="H4" s="8" t="s">
        <v>151</v>
      </c>
      <c r="I4" s="12" t="s">
        <v>2598</v>
      </c>
      <c r="J4" s="13">
        <v>43145</v>
      </c>
      <c r="K4" s="13">
        <v>43630</v>
      </c>
      <c r="L4" s="14">
        <f t="shared" ref="L4:L98" si="0">R4/AD4*100</f>
        <v>84.999999517641427</v>
      </c>
      <c r="M4" s="8">
        <v>7</v>
      </c>
      <c r="N4" s="8" t="s">
        <v>221</v>
      </c>
      <c r="O4" s="8" t="s">
        <v>216</v>
      </c>
      <c r="P4" s="15" t="s">
        <v>174</v>
      </c>
      <c r="Q4" s="11" t="s">
        <v>34</v>
      </c>
      <c r="R4" s="16">
        <f t="shared" ref="R4:R6" si="1">S4+T4</f>
        <v>352434.92</v>
      </c>
      <c r="S4" s="17">
        <v>352434.92</v>
      </c>
      <c r="T4" s="16">
        <v>0</v>
      </c>
      <c r="U4" s="18">
        <f t="shared" ref="U4:U96" si="2">V4+W4</f>
        <v>53844.59</v>
      </c>
      <c r="V4" s="19">
        <v>53844.59</v>
      </c>
      <c r="W4" s="20">
        <v>0</v>
      </c>
      <c r="X4" s="18">
        <f t="shared" ref="X4" si="3">Y4+Z4</f>
        <v>8349.81</v>
      </c>
      <c r="Y4" s="17">
        <v>8349.81</v>
      </c>
      <c r="Z4" s="18">
        <v>0</v>
      </c>
      <c r="AA4" s="16">
        <f>AB4+AC4</f>
        <v>0</v>
      </c>
      <c r="AB4" s="16">
        <v>0</v>
      </c>
      <c r="AC4" s="16">
        <v>0</v>
      </c>
      <c r="AD4" s="16">
        <f>R4+U4+X4+AA4</f>
        <v>414629.32</v>
      </c>
      <c r="AE4" s="16">
        <v>0</v>
      </c>
      <c r="AF4" s="16">
        <f t="shared" ref="AF4:AF53" si="4">AD4+AE4</f>
        <v>414629.32</v>
      </c>
      <c r="AG4" s="21" t="s">
        <v>857</v>
      </c>
      <c r="AH4" s="22" t="s">
        <v>151</v>
      </c>
      <c r="AI4" s="23">
        <v>327238.19</v>
      </c>
      <c r="AJ4" s="23">
        <v>49995.08</v>
      </c>
      <c r="AK4" s="119"/>
      <c r="XFB4" s="179">
        <f>SUM(A4:XFA4)</f>
        <v>2233494.5499995179</v>
      </c>
    </row>
    <row r="5" spans="1:37 16382:16382" ht="164.25" customHeight="1" x14ac:dyDescent="0.25">
      <c r="A5" s="6">
        <v>2</v>
      </c>
      <c r="B5" s="11">
        <v>109854</v>
      </c>
      <c r="C5" s="11">
        <v>116</v>
      </c>
      <c r="D5" s="9" t="s">
        <v>1638</v>
      </c>
      <c r="E5" s="24" t="s">
        <v>277</v>
      </c>
      <c r="F5" s="11" t="s">
        <v>300</v>
      </c>
      <c r="G5" s="11" t="s">
        <v>1549</v>
      </c>
      <c r="H5" s="11" t="s">
        <v>1549</v>
      </c>
      <c r="I5" s="12" t="s">
        <v>1886</v>
      </c>
      <c r="J5" s="25">
        <v>43186</v>
      </c>
      <c r="K5" s="25">
        <v>43551</v>
      </c>
      <c r="L5" s="26">
        <f t="shared" si="0"/>
        <v>85.000000944809514</v>
      </c>
      <c r="M5" s="11">
        <v>7</v>
      </c>
      <c r="N5" s="11" t="s">
        <v>221</v>
      </c>
      <c r="O5" s="11" t="s">
        <v>301</v>
      </c>
      <c r="P5" s="27" t="s">
        <v>174</v>
      </c>
      <c r="Q5" s="11" t="s">
        <v>34</v>
      </c>
      <c r="R5" s="1">
        <f t="shared" si="1"/>
        <v>359860.9</v>
      </c>
      <c r="S5" s="2">
        <v>359860.9</v>
      </c>
      <c r="T5" s="2">
        <v>0</v>
      </c>
      <c r="U5" s="1">
        <f t="shared" si="2"/>
        <v>55037.54</v>
      </c>
      <c r="V5" s="28">
        <v>55037.54</v>
      </c>
      <c r="W5" s="28">
        <v>0</v>
      </c>
      <c r="X5" s="1">
        <f>Y5+Z5</f>
        <v>8467.32</v>
      </c>
      <c r="Y5" s="2">
        <v>8467.32</v>
      </c>
      <c r="Z5" s="2">
        <v>0</v>
      </c>
      <c r="AA5" s="2">
        <f t="shared" ref="AA5:AA11" si="5">AB5+AC5</f>
        <v>0</v>
      </c>
      <c r="AB5" s="2">
        <v>0</v>
      </c>
      <c r="AC5" s="2">
        <v>0</v>
      </c>
      <c r="AD5" s="16">
        <f t="shared" ref="AD5:AD68" si="6">R5+U5+X5+AA5</f>
        <v>423365.76</v>
      </c>
      <c r="AE5" s="2">
        <v>0</v>
      </c>
      <c r="AF5" s="2">
        <f t="shared" si="4"/>
        <v>423365.76</v>
      </c>
      <c r="AG5" s="21" t="s">
        <v>857</v>
      </c>
      <c r="AH5" s="29" t="s">
        <v>294</v>
      </c>
      <c r="AI5" s="30">
        <v>267801.62000000005</v>
      </c>
      <c r="AJ5" s="30">
        <v>40957.890000000007</v>
      </c>
    </row>
    <row r="6" spans="1:37 16382:16382" ht="204.75" x14ac:dyDescent="0.25">
      <c r="A6" s="6">
        <v>3</v>
      </c>
      <c r="B6" s="31">
        <v>119560</v>
      </c>
      <c r="C6" s="11">
        <v>471</v>
      </c>
      <c r="D6" s="9" t="s">
        <v>1638</v>
      </c>
      <c r="E6" s="24" t="s">
        <v>457</v>
      </c>
      <c r="F6" s="11" t="s">
        <v>505</v>
      </c>
      <c r="G6" s="11" t="s">
        <v>504</v>
      </c>
      <c r="H6" s="11" t="s">
        <v>283</v>
      </c>
      <c r="I6" s="32" t="s">
        <v>2599</v>
      </c>
      <c r="J6" s="25">
        <v>43265</v>
      </c>
      <c r="K6" s="25">
        <v>43752</v>
      </c>
      <c r="L6" s="26">
        <f t="shared" si="0"/>
        <v>84.216178284166972</v>
      </c>
      <c r="M6" s="11">
        <v>7</v>
      </c>
      <c r="N6" s="11" t="s">
        <v>221</v>
      </c>
      <c r="O6" s="11" t="s">
        <v>506</v>
      </c>
      <c r="P6" s="27" t="s">
        <v>174</v>
      </c>
      <c r="Q6" s="11" t="s">
        <v>34</v>
      </c>
      <c r="R6" s="1">
        <f t="shared" si="1"/>
        <v>336316.07</v>
      </c>
      <c r="S6" s="2">
        <v>336316.07</v>
      </c>
      <c r="T6" s="2">
        <v>0</v>
      </c>
      <c r="U6" s="1">
        <f t="shared" si="2"/>
        <v>55045.45</v>
      </c>
      <c r="V6" s="28">
        <v>55045.45</v>
      </c>
      <c r="W6" s="28">
        <v>0</v>
      </c>
      <c r="X6" s="1">
        <f t="shared" ref="X6:X98" si="7">Y6+Z6</f>
        <v>7987.01</v>
      </c>
      <c r="Y6" s="2">
        <v>7987.01</v>
      </c>
      <c r="Z6" s="2">
        <v>0</v>
      </c>
      <c r="AA6" s="2">
        <f t="shared" si="5"/>
        <v>0</v>
      </c>
      <c r="AB6" s="2">
        <v>0</v>
      </c>
      <c r="AC6" s="2">
        <v>0</v>
      </c>
      <c r="AD6" s="16">
        <f t="shared" si="6"/>
        <v>399348.53</v>
      </c>
      <c r="AE6" s="2">
        <v>0</v>
      </c>
      <c r="AF6" s="2">
        <f t="shared" si="4"/>
        <v>399348.53</v>
      </c>
      <c r="AG6" s="21" t="s">
        <v>857</v>
      </c>
      <c r="AH6" s="29" t="s">
        <v>294</v>
      </c>
      <c r="AI6" s="30">
        <v>271156.57999999996</v>
      </c>
      <c r="AJ6" s="30">
        <v>44248.240000000005</v>
      </c>
    </row>
    <row r="7" spans="1:37 16382:16382" ht="141.75" x14ac:dyDescent="0.25">
      <c r="A7" s="6">
        <v>4</v>
      </c>
      <c r="B7" s="31">
        <v>117934</v>
      </c>
      <c r="C7" s="11">
        <v>417</v>
      </c>
      <c r="D7" s="32" t="s">
        <v>1639</v>
      </c>
      <c r="E7" s="24" t="s">
        <v>507</v>
      </c>
      <c r="F7" s="11" t="s">
        <v>1887</v>
      </c>
      <c r="G7" s="11" t="s">
        <v>504</v>
      </c>
      <c r="H7" s="8" t="s">
        <v>151</v>
      </c>
      <c r="I7" s="33" t="s">
        <v>2600</v>
      </c>
      <c r="J7" s="25">
        <v>43278</v>
      </c>
      <c r="K7" s="25">
        <v>43765</v>
      </c>
      <c r="L7" s="26">
        <f t="shared" si="0"/>
        <v>84.999998780098935</v>
      </c>
      <c r="M7" s="11">
        <v>7</v>
      </c>
      <c r="N7" s="11" t="s">
        <v>221</v>
      </c>
      <c r="O7" s="11" t="s">
        <v>506</v>
      </c>
      <c r="P7" s="27" t="s">
        <v>174</v>
      </c>
      <c r="Q7" s="11" t="s">
        <v>34</v>
      </c>
      <c r="R7" s="1">
        <f>S7+T7</f>
        <v>243872.23</v>
      </c>
      <c r="S7" s="2">
        <v>243872.23</v>
      </c>
      <c r="T7" s="2">
        <v>0</v>
      </c>
      <c r="U7" s="1">
        <f t="shared" si="2"/>
        <v>37298.080000000002</v>
      </c>
      <c r="V7" s="28">
        <v>37298.080000000002</v>
      </c>
      <c r="W7" s="28">
        <v>0</v>
      </c>
      <c r="X7" s="1">
        <f t="shared" si="7"/>
        <v>5738.2</v>
      </c>
      <c r="Y7" s="2">
        <v>5738.2</v>
      </c>
      <c r="Z7" s="2">
        <v>0</v>
      </c>
      <c r="AA7" s="2">
        <f t="shared" si="5"/>
        <v>0</v>
      </c>
      <c r="AB7" s="34">
        <v>0</v>
      </c>
      <c r="AC7" s="34">
        <v>0</v>
      </c>
      <c r="AD7" s="16">
        <f t="shared" si="6"/>
        <v>286908.51</v>
      </c>
      <c r="AE7" s="2">
        <v>0</v>
      </c>
      <c r="AF7" s="2">
        <f t="shared" si="4"/>
        <v>286908.51</v>
      </c>
      <c r="AG7" s="21" t="s">
        <v>857</v>
      </c>
      <c r="AH7" s="35"/>
      <c r="AI7" s="30">
        <v>223752.58</v>
      </c>
      <c r="AJ7" s="30">
        <v>34220.97</v>
      </c>
    </row>
    <row r="8" spans="1:37 16382:16382" ht="230.25" customHeight="1" x14ac:dyDescent="0.25">
      <c r="A8" s="6">
        <v>5</v>
      </c>
      <c r="B8" s="31">
        <v>118740</v>
      </c>
      <c r="C8" s="11">
        <v>436</v>
      </c>
      <c r="D8" s="32" t="s">
        <v>1639</v>
      </c>
      <c r="E8" s="24" t="s">
        <v>507</v>
      </c>
      <c r="F8" s="31" t="s">
        <v>729</v>
      </c>
      <c r="G8" s="11" t="s">
        <v>213</v>
      </c>
      <c r="H8" s="8" t="s">
        <v>151</v>
      </c>
      <c r="I8" s="32" t="s">
        <v>2601</v>
      </c>
      <c r="J8" s="25">
        <v>43321</v>
      </c>
      <c r="K8" s="25">
        <v>43808</v>
      </c>
      <c r="L8" s="26">
        <f t="shared" si="0"/>
        <v>85.000000362805537</v>
      </c>
      <c r="M8" s="11">
        <v>7</v>
      </c>
      <c r="N8" s="11" t="s">
        <v>221</v>
      </c>
      <c r="O8" s="11" t="s">
        <v>216</v>
      </c>
      <c r="P8" s="27" t="s">
        <v>174</v>
      </c>
      <c r="Q8" s="11" t="s">
        <v>34</v>
      </c>
      <c r="R8" s="1">
        <f t="shared" ref="R8:R10" si="8">S8+T8</f>
        <v>234285.28</v>
      </c>
      <c r="S8" s="2">
        <v>234285.28</v>
      </c>
      <c r="T8" s="2">
        <v>0</v>
      </c>
      <c r="U8" s="1">
        <f t="shared" si="2"/>
        <v>35831.870000000003</v>
      </c>
      <c r="V8" s="28">
        <v>35831.870000000003</v>
      </c>
      <c r="W8" s="28"/>
      <c r="X8" s="1">
        <f t="shared" si="7"/>
        <v>5512.59</v>
      </c>
      <c r="Y8" s="2">
        <v>5512.59</v>
      </c>
      <c r="Z8" s="2">
        <v>0</v>
      </c>
      <c r="AA8" s="2">
        <f t="shared" si="5"/>
        <v>0</v>
      </c>
      <c r="AB8" s="36">
        <v>0</v>
      </c>
      <c r="AC8" s="36">
        <v>0</v>
      </c>
      <c r="AD8" s="16">
        <f t="shared" si="6"/>
        <v>275629.74000000005</v>
      </c>
      <c r="AE8" s="2"/>
      <c r="AF8" s="2">
        <f t="shared" si="4"/>
        <v>275629.74000000005</v>
      </c>
      <c r="AG8" s="21" t="s">
        <v>857</v>
      </c>
      <c r="AH8" s="35"/>
      <c r="AI8" s="30">
        <v>204891.55</v>
      </c>
      <c r="AJ8" s="30">
        <v>31336.359999999997</v>
      </c>
    </row>
    <row r="9" spans="1:37 16382:16382" ht="219.6" customHeight="1" x14ac:dyDescent="0.25">
      <c r="A9" s="6">
        <v>6</v>
      </c>
      <c r="B9" s="31">
        <v>119862</v>
      </c>
      <c r="C9" s="11">
        <v>483</v>
      </c>
      <c r="D9" s="9" t="s">
        <v>1638</v>
      </c>
      <c r="E9" s="11" t="s">
        <v>457</v>
      </c>
      <c r="F9" s="31" t="s">
        <v>749</v>
      </c>
      <c r="G9" s="11" t="s">
        <v>750</v>
      </c>
      <c r="H9" s="8" t="s">
        <v>151</v>
      </c>
      <c r="I9" s="32" t="s">
        <v>751</v>
      </c>
      <c r="J9" s="25">
        <v>43325</v>
      </c>
      <c r="K9" s="25">
        <v>43629</v>
      </c>
      <c r="L9" s="26">
        <f t="shared" si="0"/>
        <v>84.999998288155666</v>
      </c>
      <c r="M9" s="11">
        <v>7</v>
      </c>
      <c r="N9" s="11" t="s">
        <v>752</v>
      </c>
      <c r="O9" s="11" t="s">
        <v>753</v>
      </c>
      <c r="P9" s="27" t="s">
        <v>174</v>
      </c>
      <c r="Q9" s="11" t="s">
        <v>34</v>
      </c>
      <c r="R9" s="1">
        <f t="shared" si="8"/>
        <v>223443.21</v>
      </c>
      <c r="S9" s="2">
        <v>223443.21</v>
      </c>
      <c r="T9" s="2">
        <v>0</v>
      </c>
      <c r="U9" s="1">
        <f t="shared" si="2"/>
        <v>34173.67</v>
      </c>
      <c r="V9" s="28">
        <v>34173.67</v>
      </c>
      <c r="W9" s="28">
        <v>0</v>
      </c>
      <c r="X9" s="1">
        <f t="shared" si="7"/>
        <v>5257.4900000000007</v>
      </c>
      <c r="Y9" s="2">
        <v>5257.4900000000007</v>
      </c>
      <c r="Z9" s="2">
        <v>0</v>
      </c>
      <c r="AA9" s="2">
        <f t="shared" si="5"/>
        <v>0</v>
      </c>
      <c r="AB9" s="37">
        <v>0</v>
      </c>
      <c r="AC9" s="37">
        <v>0</v>
      </c>
      <c r="AD9" s="16">
        <f t="shared" si="6"/>
        <v>262874.37</v>
      </c>
      <c r="AE9" s="2"/>
      <c r="AF9" s="2">
        <f t="shared" si="4"/>
        <v>262874.37</v>
      </c>
      <c r="AG9" s="21" t="s">
        <v>857</v>
      </c>
      <c r="AH9" s="35"/>
      <c r="AI9" s="30">
        <v>197238.88999999998</v>
      </c>
      <c r="AJ9" s="30">
        <v>30165.95</v>
      </c>
      <c r="AK9" s="184"/>
    </row>
    <row r="10" spans="1:37 16382:16382" ht="219.6" customHeight="1" x14ac:dyDescent="0.25">
      <c r="A10" s="6">
        <v>7</v>
      </c>
      <c r="B10" s="31">
        <v>126492</v>
      </c>
      <c r="C10" s="11">
        <v>568</v>
      </c>
      <c r="D10" s="9" t="s">
        <v>1638</v>
      </c>
      <c r="E10" s="11" t="s">
        <v>899</v>
      </c>
      <c r="F10" s="31" t="s">
        <v>950</v>
      </c>
      <c r="G10" s="11" t="s">
        <v>1549</v>
      </c>
      <c r="H10" s="8" t="s">
        <v>151</v>
      </c>
      <c r="I10" s="32" t="s">
        <v>1877</v>
      </c>
      <c r="J10" s="25">
        <v>43462</v>
      </c>
      <c r="K10" s="25">
        <v>44132</v>
      </c>
      <c r="L10" s="26">
        <f t="shared" si="0"/>
        <v>84.999999417414912</v>
      </c>
      <c r="M10" s="11">
        <v>7</v>
      </c>
      <c r="N10" s="11" t="s">
        <v>752</v>
      </c>
      <c r="O10" s="11" t="s">
        <v>301</v>
      </c>
      <c r="P10" s="27" t="s">
        <v>174</v>
      </c>
      <c r="Q10" s="11" t="s">
        <v>34</v>
      </c>
      <c r="R10" s="1">
        <f t="shared" si="8"/>
        <v>948359.35</v>
      </c>
      <c r="S10" s="2">
        <v>948359.35</v>
      </c>
      <c r="T10" s="2">
        <v>0</v>
      </c>
      <c r="U10" s="1">
        <f t="shared" si="2"/>
        <v>145043.20000000001</v>
      </c>
      <c r="V10" s="28">
        <v>145043.20000000001</v>
      </c>
      <c r="W10" s="28">
        <v>0</v>
      </c>
      <c r="X10" s="1">
        <f t="shared" si="7"/>
        <v>22314.34</v>
      </c>
      <c r="Y10" s="2">
        <v>22314.34</v>
      </c>
      <c r="Z10" s="2">
        <v>0</v>
      </c>
      <c r="AA10" s="2">
        <f t="shared" si="5"/>
        <v>0</v>
      </c>
      <c r="AB10" s="37">
        <v>0</v>
      </c>
      <c r="AC10" s="37">
        <v>0</v>
      </c>
      <c r="AD10" s="16">
        <f t="shared" si="6"/>
        <v>1115716.8900000001</v>
      </c>
      <c r="AE10" s="2"/>
      <c r="AF10" s="2">
        <f t="shared" si="4"/>
        <v>1115716.8900000001</v>
      </c>
      <c r="AG10" s="38" t="s">
        <v>857</v>
      </c>
      <c r="AH10" s="35" t="s">
        <v>1594</v>
      </c>
      <c r="AI10" s="30">
        <f>596988.87+37314.15+135631.95+85902.49</f>
        <v>855837.46</v>
      </c>
      <c r="AJ10" s="30">
        <f>91304.18+5706.87+20743.71+13138.03</f>
        <v>130892.78999999998</v>
      </c>
    </row>
    <row r="11" spans="1:37 16382:16382" ht="294.75" customHeight="1" x14ac:dyDescent="0.25">
      <c r="A11" s="6">
        <v>8</v>
      </c>
      <c r="B11" s="31">
        <v>126520</v>
      </c>
      <c r="C11" s="11">
        <v>550</v>
      </c>
      <c r="D11" s="9" t="s">
        <v>1638</v>
      </c>
      <c r="E11" s="11" t="s">
        <v>899</v>
      </c>
      <c r="F11" s="31" t="s">
        <v>973</v>
      </c>
      <c r="G11" s="11" t="s">
        <v>750</v>
      </c>
      <c r="H11" s="8" t="s">
        <v>151</v>
      </c>
      <c r="I11" s="33" t="s">
        <v>974</v>
      </c>
      <c r="J11" s="25">
        <v>43504</v>
      </c>
      <c r="K11" s="25">
        <v>44294</v>
      </c>
      <c r="L11" s="26">
        <f t="shared" si="0"/>
        <v>84.999999104679475</v>
      </c>
      <c r="M11" s="11">
        <v>7</v>
      </c>
      <c r="N11" s="11" t="s">
        <v>752</v>
      </c>
      <c r="O11" s="11" t="s">
        <v>301</v>
      </c>
      <c r="P11" s="27" t="s">
        <v>174</v>
      </c>
      <c r="Q11" s="11" t="s">
        <v>34</v>
      </c>
      <c r="R11" s="1">
        <f t="shared" ref="R11:R14" si="9">S11+T11</f>
        <v>2231044.54</v>
      </c>
      <c r="S11" s="2">
        <v>2231044.54</v>
      </c>
      <c r="T11" s="2">
        <v>0</v>
      </c>
      <c r="U11" s="1">
        <f t="shared" si="2"/>
        <v>341218.6</v>
      </c>
      <c r="V11" s="28">
        <v>341218.6</v>
      </c>
      <c r="W11" s="28">
        <v>0</v>
      </c>
      <c r="X11" s="1">
        <f t="shared" si="7"/>
        <v>52495.17</v>
      </c>
      <c r="Y11" s="2">
        <v>52495.17</v>
      </c>
      <c r="Z11" s="2">
        <v>0</v>
      </c>
      <c r="AA11" s="2">
        <f t="shared" si="5"/>
        <v>0</v>
      </c>
      <c r="AB11" s="37">
        <v>0</v>
      </c>
      <c r="AC11" s="37">
        <v>0</v>
      </c>
      <c r="AD11" s="16">
        <f t="shared" si="6"/>
        <v>2624758.31</v>
      </c>
      <c r="AE11" s="2"/>
      <c r="AF11" s="2">
        <f t="shared" si="4"/>
        <v>2624758.31</v>
      </c>
      <c r="AG11" s="38" t="s">
        <v>857</v>
      </c>
      <c r="AH11" s="38" t="s">
        <v>1107</v>
      </c>
      <c r="AI11" s="30">
        <f>1036154.83+266876.43+120061.79+31991.73+36553.52</f>
        <v>1491638.3</v>
      </c>
      <c r="AJ11" s="30">
        <f>158470.74+40816.4+18362.4+4892.85+5590.54</f>
        <v>228132.93</v>
      </c>
    </row>
    <row r="12" spans="1:37 16382:16382" ht="294.75" customHeight="1" x14ac:dyDescent="0.25">
      <c r="A12" s="6">
        <v>9</v>
      </c>
      <c r="B12" s="31">
        <v>126539</v>
      </c>
      <c r="C12" s="11">
        <v>574</v>
      </c>
      <c r="D12" s="9" t="s">
        <v>1638</v>
      </c>
      <c r="E12" s="11" t="s">
        <v>899</v>
      </c>
      <c r="F12" s="31" t="s">
        <v>1021</v>
      </c>
      <c r="G12" s="11" t="s">
        <v>213</v>
      </c>
      <c r="H12" s="8" t="s">
        <v>151</v>
      </c>
      <c r="I12" s="33" t="s">
        <v>2602</v>
      </c>
      <c r="J12" s="25">
        <v>43552</v>
      </c>
      <c r="K12" s="25">
        <v>44467</v>
      </c>
      <c r="L12" s="26">
        <f t="shared" si="0"/>
        <v>85.000000056453686</v>
      </c>
      <c r="M12" s="11">
        <v>7</v>
      </c>
      <c r="N12" s="11" t="s">
        <v>221</v>
      </c>
      <c r="O12" s="11" t="s">
        <v>216</v>
      </c>
      <c r="P12" s="27" t="s">
        <v>174</v>
      </c>
      <c r="Q12" s="11" t="s">
        <v>34</v>
      </c>
      <c r="R12" s="1">
        <f t="shared" si="9"/>
        <v>3011318.02</v>
      </c>
      <c r="S12" s="2">
        <v>3011318.02</v>
      </c>
      <c r="T12" s="2">
        <v>0</v>
      </c>
      <c r="U12" s="1">
        <f t="shared" si="2"/>
        <v>460554.52</v>
      </c>
      <c r="V12" s="28">
        <v>460554.52</v>
      </c>
      <c r="W12" s="28">
        <v>0</v>
      </c>
      <c r="X12" s="1">
        <f t="shared" si="7"/>
        <v>70854.539999999994</v>
      </c>
      <c r="Y12" s="2">
        <v>70854.539999999994</v>
      </c>
      <c r="Z12" s="2">
        <v>0</v>
      </c>
      <c r="AA12" s="2">
        <f>AB12+AC12</f>
        <v>0</v>
      </c>
      <c r="AB12" s="37">
        <v>0</v>
      </c>
      <c r="AC12" s="37">
        <v>0</v>
      </c>
      <c r="AD12" s="16">
        <f t="shared" si="6"/>
        <v>3542727.08</v>
      </c>
      <c r="AE12" s="2">
        <v>65688</v>
      </c>
      <c r="AF12" s="2">
        <f t="shared" si="4"/>
        <v>3608415.08</v>
      </c>
      <c r="AG12" s="38" t="s">
        <v>857</v>
      </c>
      <c r="AH12" s="38" t="s">
        <v>151</v>
      </c>
      <c r="AI12" s="30">
        <f>254185.09+31457.65+24031.2+22651.14+23082.6+834624.57+1453443.29</f>
        <v>2643475.54</v>
      </c>
      <c r="AJ12" s="30">
        <f>38875.36+4811.17+3675.36+3464.29+3530.28+127648.46+222291.34</f>
        <v>404296.26</v>
      </c>
    </row>
    <row r="13" spans="1:37 16382:16382" ht="236.25" x14ac:dyDescent="0.25">
      <c r="A13" s="6">
        <v>10</v>
      </c>
      <c r="B13" s="31">
        <v>126063</v>
      </c>
      <c r="C13" s="11">
        <v>512</v>
      </c>
      <c r="D13" s="9" t="s">
        <v>1638</v>
      </c>
      <c r="E13" s="11" t="s">
        <v>899</v>
      </c>
      <c r="F13" s="31" t="s">
        <v>1027</v>
      </c>
      <c r="G13" s="11" t="s">
        <v>504</v>
      </c>
      <c r="H13" s="11" t="s">
        <v>636</v>
      </c>
      <c r="I13" s="33" t="s">
        <v>2603</v>
      </c>
      <c r="J13" s="25">
        <v>43552</v>
      </c>
      <c r="K13" s="25">
        <v>44740</v>
      </c>
      <c r="L13" s="26">
        <f t="shared" si="0"/>
        <v>84.460725488426988</v>
      </c>
      <c r="M13" s="11">
        <v>7</v>
      </c>
      <c r="N13" s="11" t="s">
        <v>221</v>
      </c>
      <c r="O13" s="11" t="s">
        <v>506</v>
      </c>
      <c r="P13" s="27" t="s">
        <v>174</v>
      </c>
      <c r="Q13" s="11" t="s">
        <v>34</v>
      </c>
      <c r="R13" s="1">
        <f t="shared" si="9"/>
        <v>2848176.35</v>
      </c>
      <c r="S13" s="2">
        <v>2848176.35</v>
      </c>
      <c r="T13" s="2">
        <v>0</v>
      </c>
      <c r="U13" s="1">
        <f t="shared" si="2"/>
        <v>456570.1</v>
      </c>
      <c r="V13" s="28">
        <v>456570.1</v>
      </c>
      <c r="W13" s="28">
        <v>0</v>
      </c>
      <c r="X13" s="1">
        <f t="shared" si="7"/>
        <v>46049.22</v>
      </c>
      <c r="Y13" s="2">
        <v>46049.22</v>
      </c>
      <c r="Z13" s="2">
        <v>0</v>
      </c>
      <c r="AA13" s="2">
        <f t="shared" ref="AA13:AA14" si="10">AB13+AC13</f>
        <v>21394.58</v>
      </c>
      <c r="AB13" s="37">
        <v>21394.58</v>
      </c>
      <c r="AC13" s="37">
        <v>0</v>
      </c>
      <c r="AD13" s="16">
        <f t="shared" si="6"/>
        <v>3372190.2500000005</v>
      </c>
      <c r="AE13" s="2">
        <v>0</v>
      </c>
      <c r="AF13" s="2">
        <f t="shared" si="4"/>
        <v>3372190.2500000005</v>
      </c>
      <c r="AG13" s="38" t="s">
        <v>857</v>
      </c>
      <c r="AH13" s="38" t="s">
        <v>1776</v>
      </c>
      <c r="AI13" s="30">
        <f>746401.81-6086.31+287473.55+59837.21+61023.45+435280.65+86771.92-15305.18+74534.23-304.29+54393.09+37331.36+698438.95-7111.45+26350.08+309147.28-64405.77</f>
        <v>2783770.5799999996</v>
      </c>
      <c r="AJ13" s="30">
        <f>86363.65+15926.41+11939.57+10559.52+29480.6+48234.8+15312.68+15305.18+11863.7+304.29+11488.85+9249.5+88842.51+7111.45+48493.25+35908.6</f>
        <v>446384.56</v>
      </c>
    </row>
    <row r="14" spans="1:37 16382:16382" ht="141.75" x14ac:dyDescent="0.25">
      <c r="A14" s="6">
        <v>11</v>
      </c>
      <c r="B14" s="31">
        <v>128599</v>
      </c>
      <c r="C14" s="11">
        <v>637</v>
      </c>
      <c r="D14" s="9" t="s">
        <v>1638</v>
      </c>
      <c r="E14" s="11" t="s">
        <v>1071</v>
      </c>
      <c r="F14" s="31" t="s">
        <v>1110</v>
      </c>
      <c r="G14" s="11" t="s">
        <v>1549</v>
      </c>
      <c r="H14" s="8" t="s">
        <v>151</v>
      </c>
      <c r="I14" s="33" t="s">
        <v>1878</v>
      </c>
      <c r="J14" s="25">
        <v>43634</v>
      </c>
      <c r="K14" s="25">
        <v>44669</v>
      </c>
      <c r="L14" s="26">
        <f t="shared" si="0"/>
        <v>85</v>
      </c>
      <c r="M14" s="11">
        <v>7</v>
      </c>
      <c r="N14" s="11" t="s">
        <v>752</v>
      </c>
      <c r="O14" s="11" t="s">
        <v>301</v>
      </c>
      <c r="P14" s="27" t="s">
        <v>174</v>
      </c>
      <c r="Q14" s="11" t="s">
        <v>34</v>
      </c>
      <c r="R14" s="1">
        <f t="shared" si="9"/>
        <v>848667.88</v>
      </c>
      <c r="S14" s="2">
        <v>848667.88</v>
      </c>
      <c r="T14" s="2">
        <v>0</v>
      </c>
      <c r="U14" s="1">
        <f t="shared" si="2"/>
        <v>129796.26</v>
      </c>
      <c r="V14" s="28">
        <v>129796.26</v>
      </c>
      <c r="W14" s="28">
        <v>0</v>
      </c>
      <c r="X14" s="1">
        <f t="shared" si="7"/>
        <v>19968.66</v>
      </c>
      <c r="Y14" s="2">
        <v>19968.66</v>
      </c>
      <c r="Z14" s="2">
        <v>0</v>
      </c>
      <c r="AA14" s="2">
        <f t="shared" si="10"/>
        <v>0</v>
      </c>
      <c r="AB14" s="37">
        <v>0</v>
      </c>
      <c r="AC14" s="37">
        <v>0</v>
      </c>
      <c r="AD14" s="16">
        <f t="shared" si="6"/>
        <v>998432.8</v>
      </c>
      <c r="AE14" s="2">
        <v>0</v>
      </c>
      <c r="AF14" s="2">
        <f t="shared" si="4"/>
        <v>998432.8</v>
      </c>
      <c r="AG14" s="38" t="s">
        <v>857</v>
      </c>
      <c r="AH14" s="38" t="s">
        <v>1838</v>
      </c>
      <c r="AI14" s="30">
        <f>81051.49+105245.93+35474.75+122545.35+82881.8+82103.2+44512.8+45398.5+225652.73</f>
        <v>824866.55</v>
      </c>
      <c r="AJ14" s="30">
        <f>8948.51+19544.04+5425.55+18742.23+12676.04+12556.96+6807.84+6943.3+34511.59</f>
        <v>126156.06</v>
      </c>
    </row>
    <row r="15" spans="1:37 16382:16382" ht="409.5" x14ac:dyDescent="0.25">
      <c r="A15" s="6">
        <v>12</v>
      </c>
      <c r="B15" s="31">
        <v>135372</v>
      </c>
      <c r="C15" s="11">
        <v>802</v>
      </c>
      <c r="D15" s="9" t="s">
        <v>1638</v>
      </c>
      <c r="E15" s="24" t="s">
        <v>1441</v>
      </c>
      <c r="F15" s="31" t="s">
        <v>1442</v>
      </c>
      <c r="G15" s="11" t="s">
        <v>750</v>
      </c>
      <c r="H15" s="8" t="s">
        <v>151</v>
      </c>
      <c r="I15" s="12" t="s">
        <v>1879</v>
      </c>
      <c r="J15" s="25">
        <v>43949</v>
      </c>
      <c r="K15" s="25">
        <v>45044</v>
      </c>
      <c r="L15" s="26">
        <f t="shared" si="0"/>
        <v>84.99999988061586</v>
      </c>
      <c r="M15" s="11">
        <v>7</v>
      </c>
      <c r="N15" s="11" t="s">
        <v>752</v>
      </c>
      <c r="O15" s="11" t="s">
        <v>750</v>
      </c>
      <c r="P15" s="27" t="s">
        <v>174</v>
      </c>
      <c r="Q15" s="11" t="s">
        <v>34</v>
      </c>
      <c r="R15" s="2">
        <f>S15+T15</f>
        <v>2847949.34</v>
      </c>
      <c r="S15" s="2">
        <v>2847949.34</v>
      </c>
      <c r="T15" s="2">
        <v>0</v>
      </c>
      <c r="U15" s="1">
        <f t="shared" si="2"/>
        <v>435568.73</v>
      </c>
      <c r="V15" s="28">
        <v>435568.73</v>
      </c>
      <c r="W15" s="28">
        <v>0</v>
      </c>
      <c r="X15" s="1">
        <f t="shared" si="7"/>
        <v>67010.570000000007</v>
      </c>
      <c r="Y15" s="2">
        <v>67010.570000000007</v>
      </c>
      <c r="Z15" s="2">
        <v>0</v>
      </c>
      <c r="AA15" s="2">
        <f>AB15+AC15</f>
        <v>0</v>
      </c>
      <c r="AB15" s="2">
        <v>0</v>
      </c>
      <c r="AC15" s="2">
        <v>0</v>
      </c>
      <c r="AD15" s="16">
        <f t="shared" si="6"/>
        <v>3350528.6399999997</v>
      </c>
      <c r="AE15" s="2">
        <v>76569.36</v>
      </c>
      <c r="AF15" s="2">
        <f t="shared" si="4"/>
        <v>3427097.9999999995</v>
      </c>
      <c r="AG15" s="38" t="s">
        <v>486</v>
      </c>
      <c r="AH15" s="38" t="s">
        <v>2344</v>
      </c>
      <c r="AI15" s="30">
        <f>17501.5+29868.15+334717.81-23634.13+656644.35+379213.57+161193.15+10857.05+111277.9+303475.92-9225.81+94123.65</f>
        <v>2066013.1099999996</v>
      </c>
      <c r="AJ15" s="30">
        <f>2676.7+4568.07+23634.13+124371.34+57997.36+24653.07+1660.49+17018.98+31524.08+9225.81+18648.44</f>
        <v>315978.46999999997</v>
      </c>
    </row>
    <row r="16" spans="1:37 16382:16382" ht="236.25" x14ac:dyDescent="0.25">
      <c r="A16" s="6">
        <v>13</v>
      </c>
      <c r="B16" s="31">
        <v>136003</v>
      </c>
      <c r="C16" s="11">
        <v>773</v>
      </c>
      <c r="D16" s="9" t="s">
        <v>1638</v>
      </c>
      <c r="E16" s="24" t="s">
        <v>1441</v>
      </c>
      <c r="F16" s="31" t="s">
        <v>1543</v>
      </c>
      <c r="G16" s="11" t="s">
        <v>504</v>
      </c>
      <c r="H16" s="8" t="s">
        <v>151</v>
      </c>
      <c r="I16" s="12" t="s">
        <v>2604</v>
      </c>
      <c r="J16" s="25">
        <v>44001</v>
      </c>
      <c r="K16" s="25">
        <v>44823</v>
      </c>
      <c r="L16" s="26">
        <f t="shared" si="0"/>
        <v>84.999999794981022</v>
      </c>
      <c r="M16" s="11">
        <v>7</v>
      </c>
      <c r="N16" s="11" t="s">
        <v>752</v>
      </c>
      <c r="O16" s="11" t="s">
        <v>504</v>
      </c>
      <c r="P16" s="27" t="s">
        <v>174</v>
      </c>
      <c r="Q16" s="11" t="s">
        <v>34</v>
      </c>
      <c r="R16" s="2">
        <f>S16+T16</f>
        <v>2280276.66</v>
      </c>
      <c r="S16" s="2">
        <v>2280276.66</v>
      </c>
      <c r="T16" s="2">
        <v>0</v>
      </c>
      <c r="U16" s="1">
        <f t="shared" si="2"/>
        <v>348748.2</v>
      </c>
      <c r="V16" s="28">
        <v>348748.2</v>
      </c>
      <c r="W16" s="28">
        <v>0</v>
      </c>
      <c r="X16" s="1">
        <f t="shared" si="7"/>
        <v>53653.57</v>
      </c>
      <c r="Y16" s="2">
        <v>53653.57</v>
      </c>
      <c r="Z16" s="2">
        <v>0</v>
      </c>
      <c r="AA16" s="2">
        <f>AB16+AC16</f>
        <v>0</v>
      </c>
      <c r="AB16" s="2">
        <v>0</v>
      </c>
      <c r="AC16" s="2">
        <v>0</v>
      </c>
      <c r="AD16" s="16">
        <f t="shared" si="6"/>
        <v>2682678.4300000002</v>
      </c>
      <c r="AE16" s="2">
        <v>0</v>
      </c>
      <c r="AF16" s="2">
        <f t="shared" si="4"/>
        <v>2682678.4300000002</v>
      </c>
      <c r="AG16" s="38" t="s">
        <v>857</v>
      </c>
      <c r="AH16" s="38" t="s">
        <v>1918</v>
      </c>
      <c r="AI16" s="30">
        <f>138492.45+0+43604.62+35902.3+1476161.93</f>
        <v>1694161.2999999998</v>
      </c>
      <c r="AJ16" s="30">
        <f>21181.2+0+6668.94+5490.94+225765.95</f>
        <v>259107.03000000003</v>
      </c>
    </row>
    <row r="17" spans="1:36" ht="141.75" x14ac:dyDescent="0.25">
      <c r="A17" s="6">
        <v>14</v>
      </c>
      <c r="B17" s="31">
        <v>136237</v>
      </c>
      <c r="C17" s="11">
        <v>810</v>
      </c>
      <c r="D17" s="9" t="s">
        <v>1638</v>
      </c>
      <c r="E17" s="24" t="s">
        <v>1441</v>
      </c>
      <c r="F17" s="31" t="s">
        <v>1888</v>
      </c>
      <c r="G17" s="11" t="s">
        <v>1549</v>
      </c>
      <c r="H17" s="8" t="s">
        <v>151</v>
      </c>
      <c r="I17" s="12" t="s">
        <v>1550</v>
      </c>
      <c r="J17" s="25">
        <v>43998</v>
      </c>
      <c r="K17" s="25">
        <v>44608</v>
      </c>
      <c r="L17" s="26">
        <f t="shared" si="0"/>
        <v>85</v>
      </c>
      <c r="M17" s="11">
        <v>7</v>
      </c>
      <c r="N17" s="11" t="s">
        <v>752</v>
      </c>
      <c r="O17" s="11" t="s">
        <v>1549</v>
      </c>
      <c r="P17" s="27" t="s">
        <v>174</v>
      </c>
      <c r="Q17" s="11" t="s">
        <v>34</v>
      </c>
      <c r="R17" s="2">
        <f>S17+T17</f>
        <v>834599.19</v>
      </c>
      <c r="S17" s="2">
        <v>834599.19</v>
      </c>
      <c r="T17" s="2">
        <v>0</v>
      </c>
      <c r="U17" s="1">
        <f t="shared" si="2"/>
        <v>127644.59</v>
      </c>
      <c r="V17" s="28">
        <v>127644.59</v>
      </c>
      <c r="W17" s="28">
        <v>0</v>
      </c>
      <c r="X17" s="1">
        <f t="shared" si="7"/>
        <v>19637.62</v>
      </c>
      <c r="Y17" s="2">
        <v>19637.62</v>
      </c>
      <c r="Z17" s="2">
        <v>0</v>
      </c>
      <c r="AA17" s="2">
        <f>AB17+AC17</f>
        <v>0</v>
      </c>
      <c r="AB17" s="2">
        <v>0</v>
      </c>
      <c r="AC17" s="2">
        <v>0</v>
      </c>
      <c r="AD17" s="16">
        <f t="shared" si="6"/>
        <v>981881.39999999991</v>
      </c>
      <c r="AE17" s="2">
        <v>0</v>
      </c>
      <c r="AF17" s="2">
        <f t="shared" si="4"/>
        <v>981881.39999999991</v>
      </c>
      <c r="AG17" s="38" t="s">
        <v>857</v>
      </c>
      <c r="AH17" s="38" t="s">
        <v>1911</v>
      </c>
      <c r="AI17" s="30">
        <f>62006.65+123779-12443.6-3551.15+123779-12163.84+142914.24-7333.3+345870.45+57117.49</f>
        <v>819974.94</v>
      </c>
      <c r="AJ17" s="30">
        <f>9483.37+12443.6+4041.05+12163.84+7833.28+7333.3+44442.97+27666.53</f>
        <v>125407.94</v>
      </c>
    </row>
    <row r="18" spans="1:36" ht="141.75" x14ac:dyDescent="0.25">
      <c r="A18" s="6">
        <v>15</v>
      </c>
      <c r="B18" s="31">
        <v>136017</v>
      </c>
      <c r="C18" s="11">
        <v>855</v>
      </c>
      <c r="D18" s="9" t="s">
        <v>1638</v>
      </c>
      <c r="E18" s="24" t="s">
        <v>1441</v>
      </c>
      <c r="F18" s="31" t="s">
        <v>1581</v>
      </c>
      <c r="G18" s="11" t="s">
        <v>213</v>
      </c>
      <c r="H18" s="8" t="s">
        <v>151</v>
      </c>
      <c r="I18" s="12" t="s">
        <v>1582</v>
      </c>
      <c r="J18" s="25">
        <v>44021</v>
      </c>
      <c r="K18" s="25">
        <v>45116</v>
      </c>
      <c r="L18" s="26">
        <f t="shared" si="0"/>
        <v>85.000000121607897</v>
      </c>
      <c r="M18" s="11">
        <v>7</v>
      </c>
      <c r="N18" s="11" t="s">
        <v>752</v>
      </c>
      <c r="O18" s="11" t="s">
        <v>216</v>
      </c>
      <c r="P18" s="27" t="s">
        <v>174</v>
      </c>
      <c r="Q18" s="11" t="s">
        <v>34</v>
      </c>
      <c r="R18" s="2">
        <f>S18+T18</f>
        <v>2096903.27</v>
      </c>
      <c r="S18" s="2">
        <v>2096903.27</v>
      </c>
      <c r="T18" s="2">
        <v>0</v>
      </c>
      <c r="U18" s="1">
        <f t="shared" si="2"/>
        <v>320702.84999999998</v>
      </c>
      <c r="V18" s="28">
        <v>320702.84999999998</v>
      </c>
      <c r="W18" s="28">
        <v>0</v>
      </c>
      <c r="X18" s="1">
        <f t="shared" si="7"/>
        <v>49338.9</v>
      </c>
      <c r="Y18" s="2">
        <v>49338.9</v>
      </c>
      <c r="Z18" s="2">
        <v>0</v>
      </c>
      <c r="AA18" s="2">
        <f>AB18+AC18</f>
        <v>0</v>
      </c>
      <c r="AB18" s="2">
        <v>0</v>
      </c>
      <c r="AC18" s="2">
        <v>0</v>
      </c>
      <c r="AD18" s="16">
        <f t="shared" si="6"/>
        <v>2466945.02</v>
      </c>
      <c r="AE18" s="2">
        <v>0</v>
      </c>
      <c r="AF18" s="2">
        <f t="shared" si="4"/>
        <v>2466945.02</v>
      </c>
      <c r="AG18" s="38" t="s">
        <v>486</v>
      </c>
      <c r="AH18" s="38" t="s">
        <v>2543</v>
      </c>
      <c r="AI18" s="30">
        <f>23885+52537.57+46083.6+77627.1+46472.05+31201.8+35294.55</f>
        <v>313101.67</v>
      </c>
      <c r="AJ18" s="30">
        <f>3653+8035.15+7048.08+11872.38+7107.49+4772.04+5397.99</f>
        <v>47886.13</v>
      </c>
    </row>
    <row r="19" spans="1:36" ht="189" x14ac:dyDescent="0.25">
      <c r="A19" s="6">
        <v>16</v>
      </c>
      <c r="B19" s="31">
        <v>152084</v>
      </c>
      <c r="C19" s="11">
        <v>1130</v>
      </c>
      <c r="D19" s="9" t="s">
        <v>1639</v>
      </c>
      <c r="E19" s="24" t="s">
        <v>1801</v>
      </c>
      <c r="F19" s="31" t="s">
        <v>1931</v>
      </c>
      <c r="G19" s="11" t="s">
        <v>1549</v>
      </c>
      <c r="H19" s="11" t="s">
        <v>1932</v>
      </c>
      <c r="I19" s="12" t="s">
        <v>2605</v>
      </c>
      <c r="J19" s="25">
        <v>44543</v>
      </c>
      <c r="K19" s="25">
        <v>45029</v>
      </c>
      <c r="L19" s="26">
        <f t="shared" si="0"/>
        <v>85.000001326025981</v>
      </c>
      <c r="M19" s="11">
        <v>7</v>
      </c>
      <c r="N19" s="11" t="s">
        <v>752</v>
      </c>
      <c r="O19" s="11" t="s">
        <v>301</v>
      </c>
      <c r="P19" s="27" t="s">
        <v>174</v>
      </c>
      <c r="Q19" s="11" t="s">
        <v>34</v>
      </c>
      <c r="R19" s="2">
        <f>S19+T19</f>
        <v>352557.2</v>
      </c>
      <c r="S19" s="2">
        <v>352557.2</v>
      </c>
      <c r="T19" s="2">
        <v>0</v>
      </c>
      <c r="U19" s="1">
        <f t="shared" si="2"/>
        <v>43500.86</v>
      </c>
      <c r="V19" s="28">
        <v>43500.86</v>
      </c>
      <c r="W19" s="28">
        <v>0</v>
      </c>
      <c r="X19" s="1">
        <f t="shared" si="7"/>
        <v>18715.11</v>
      </c>
      <c r="Y19" s="2">
        <v>18715.11</v>
      </c>
      <c r="Z19" s="2">
        <v>0</v>
      </c>
      <c r="AA19" s="2">
        <f>AB19+AC19</f>
        <v>0</v>
      </c>
      <c r="AB19" s="2">
        <v>0</v>
      </c>
      <c r="AC19" s="2">
        <v>0</v>
      </c>
      <c r="AD19" s="16">
        <f t="shared" si="6"/>
        <v>414773.17</v>
      </c>
      <c r="AE19" s="2">
        <v>0</v>
      </c>
      <c r="AF19" s="2">
        <f t="shared" si="4"/>
        <v>414773.17</v>
      </c>
      <c r="AG19" s="38" t="s">
        <v>486</v>
      </c>
      <c r="AH19" s="35"/>
      <c r="AI19" s="30">
        <f>47624.85</f>
        <v>47624.85</v>
      </c>
      <c r="AJ19" s="30">
        <f>5671.15</f>
        <v>5671.15</v>
      </c>
    </row>
    <row r="20" spans="1:36" ht="141.75" x14ac:dyDescent="0.25">
      <c r="A20" s="6">
        <v>17</v>
      </c>
      <c r="B20" s="31">
        <v>120637</v>
      </c>
      <c r="C20" s="11">
        <v>86</v>
      </c>
      <c r="D20" s="9" t="s">
        <v>1638</v>
      </c>
      <c r="E20" s="24" t="s">
        <v>277</v>
      </c>
      <c r="F20" s="11" t="s">
        <v>228</v>
      </c>
      <c r="G20" s="11" t="s">
        <v>229</v>
      </c>
      <c r="H20" s="8" t="s">
        <v>151</v>
      </c>
      <c r="I20" s="12" t="s">
        <v>2606</v>
      </c>
      <c r="J20" s="25">
        <v>43145</v>
      </c>
      <c r="K20" s="25">
        <v>43510</v>
      </c>
      <c r="L20" s="26">
        <f t="shared" si="0"/>
        <v>85.000001183738732</v>
      </c>
      <c r="M20" s="11">
        <v>5</v>
      </c>
      <c r="N20" s="11" t="s">
        <v>230</v>
      </c>
      <c r="O20" s="11" t="s">
        <v>230</v>
      </c>
      <c r="P20" s="27" t="s">
        <v>174</v>
      </c>
      <c r="Q20" s="11" t="s">
        <v>34</v>
      </c>
      <c r="R20" s="2">
        <f t="shared" ref="R20:R22" si="11">S20+T20</f>
        <v>359031.93</v>
      </c>
      <c r="S20" s="39">
        <v>359031.93</v>
      </c>
      <c r="T20" s="2">
        <v>0</v>
      </c>
      <c r="U20" s="1">
        <f t="shared" si="2"/>
        <v>54910.76</v>
      </c>
      <c r="V20" s="28">
        <v>54910.76</v>
      </c>
      <c r="W20" s="28">
        <v>0</v>
      </c>
      <c r="X20" s="1">
        <f t="shared" si="7"/>
        <v>8447.81</v>
      </c>
      <c r="Y20" s="2">
        <v>8447.81</v>
      </c>
      <c r="Z20" s="2">
        <v>0</v>
      </c>
      <c r="AA20" s="2">
        <f>AB20+AC20</f>
        <v>0</v>
      </c>
      <c r="AB20" s="2">
        <v>0</v>
      </c>
      <c r="AC20" s="2">
        <v>0</v>
      </c>
      <c r="AD20" s="16">
        <f t="shared" si="6"/>
        <v>422390.5</v>
      </c>
      <c r="AE20" s="2">
        <v>0</v>
      </c>
      <c r="AF20" s="2">
        <f t="shared" si="4"/>
        <v>422390.5</v>
      </c>
      <c r="AG20" s="21" t="s">
        <v>857</v>
      </c>
      <c r="AH20" s="29" t="s">
        <v>151</v>
      </c>
      <c r="AI20" s="30">
        <v>282511.96000000002</v>
      </c>
      <c r="AJ20" s="30">
        <v>43207.69</v>
      </c>
    </row>
    <row r="21" spans="1:36" ht="141.75" x14ac:dyDescent="0.25">
      <c r="A21" s="6">
        <v>18</v>
      </c>
      <c r="B21" s="31">
        <v>119520</v>
      </c>
      <c r="C21" s="31">
        <v>465</v>
      </c>
      <c r="D21" s="9" t="s">
        <v>1638</v>
      </c>
      <c r="E21" s="32" t="s">
        <v>457</v>
      </c>
      <c r="F21" s="11" t="s">
        <v>619</v>
      </c>
      <c r="G21" s="11" t="s">
        <v>620</v>
      </c>
      <c r="H21" s="8" t="s">
        <v>151</v>
      </c>
      <c r="I21" s="32" t="s">
        <v>1880</v>
      </c>
      <c r="J21" s="25">
        <v>43292</v>
      </c>
      <c r="K21" s="25">
        <v>44176</v>
      </c>
      <c r="L21" s="26">
        <f t="shared" si="0"/>
        <v>85.000019787644845</v>
      </c>
      <c r="M21" s="40">
        <v>5</v>
      </c>
      <c r="N21" s="11" t="s">
        <v>230</v>
      </c>
      <c r="O21" s="11" t="s">
        <v>230</v>
      </c>
      <c r="P21" s="40" t="s">
        <v>174</v>
      </c>
      <c r="Q21" s="11" t="s">
        <v>34</v>
      </c>
      <c r="R21" s="2">
        <f t="shared" si="11"/>
        <v>231962.98</v>
      </c>
      <c r="S21" s="30">
        <v>231962.98</v>
      </c>
      <c r="T21" s="41">
        <v>0</v>
      </c>
      <c r="U21" s="1">
        <f t="shared" si="2"/>
        <v>35476.620000000003</v>
      </c>
      <c r="V21" s="42">
        <v>35476.620000000003</v>
      </c>
      <c r="W21" s="42">
        <v>0</v>
      </c>
      <c r="X21" s="1">
        <f t="shared" si="7"/>
        <v>5457.96</v>
      </c>
      <c r="Y21" s="30">
        <v>5457.96</v>
      </c>
      <c r="Z21" s="30">
        <v>0</v>
      </c>
      <c r="AA21" s="2">
        <f t="shared" ref="AA21:AA22" si="12">AB21+AC21</f>
        <v>0</v>
      </c>
      <c r="AB21" s="37">
        <v>0</v>
      </c>
      <c r="AC21" s="37">
        <v>0</v>
      </c>
      <c r="AD21" s="16">
        <f t="shared" si="6"/>
        <v>272897.56000000006</v>
      </c>
      <c r="AE21" s="35">
        <v>0</v>
      </c>
      <c r="AF21" s="2">
        <f t="shared" si="4"/>
        <v>272897.56000000006</v>
      </c>
      <c r="AG21" s="38" t="s">
        <v>857</v>
      </c>
      <c r="AH21" s="38" t="s">
        <v>1347</v>
      </c>
      <c r="AI21" s="30">
        <f>152403.68+22268.18</f>
        <v>174671.86</v>
      </c>
      <c r="AJ21" s="30">
        <f>23308.79+3405.71</f>
        <v>26714.5</v>
      </c>
    </row>
    <row r="22" spans="1:36" ht="141.75" x14ac:dyDescent="0.25">
      <c r="A22" s="6">
        <v>19</v>
      </c>
      <c r="B22" s="31">
        <v>116692</v>
      </c>
      <c r="C22" s="11">
        <v>408</v>
      </c>
      <c r="D22" s="32" t="s">
        <v>1639</v>
      </c>
      <c r="E22" s="32" t="s">
        <v>507</v>
      </c>
      <c r="F22" s="11" t="s">
        <v>730</v>
      </c>
      <c r="G22" s="11" t="s">
        <v>620</v>
      </c>
      <c r="H22" s="8" t="s">
        <v>151</v>
      </c>
      <c r="I22" s="43" t="s">
        <v>731</v>
      </c>
      <c r="J22" s="25">
        <v>43321</v>
      </c>
      <c r="K22" s="25">
        <v>43899</v>
      </c>
      <c r="L22" s="26">
        <f t="shared" si="0"/>
        <v>85.000000534892237</v>
      </c>
      <c r="M22" s="11">
        <v>5</v>
      </c>
      <c r="N22" s="11" t="s">
        <v>230</v>
      </c>
      <c r="O22" s="11" t="s">
        <v>230</v>
      </c>
      <c r="P22" s="40" t="s">
        <v>174</v>
      </c>
      <c r="Q22" s="11" t="s">
        <v>34</v>
      </c>
      <c r="R22" s="2">
        <f t="shared" si="11"/>
        <v>317821.02</v>
      </c>
      <c r="S22" s="30">
        <v>317821.02</v>
      </c>
      <c r="T22" s="41">
        <v>0</v>
      </c>
      <c r="U22" s="1">
        <f t="shared" si="2"/>
        <v>48607.91</v>
      </c>
      <c r="V22" s="42">
        <v>48607.91</v>
      </c>
      <c r="W22" s="42">
        <v>0</v>
      </c>
      <c r="X22" s="1">
        <f t="shared" si="7"/>
        <v>7478.15</v>
      </c>
      <c r="Y22" s="30">
        <v>7478.15</v>
      </c>
      <c r="Z22" s="30">
        <v>0</v>
      </c>
      <c r="AA22" s="2">
        <f t="shared" si="12"/>
        <v>0</v>
      </c>
      <c r="AB22" s="37">
        <v>0</v>
      </c>
      <c r="AC22" s="37">
        <v>0</v>
      </c>
      <c r="AD22" s="16">
        <f t="shared" si="6"/>
        <v>373907.08000000007</v>
      </c>
      <c r="AE22" s="38">
        <v>0</v>
      </c>
      <c r="AF22" s="2">
        <f t="shared" si="4"/>
        <v>373907.08000000007</v>
      </c>
      <c r="AG22" s="38" t="s">
        <v>857</v>
      </c>
      <c r="AH22" s="38" t="s">
        <v>1381</v>
      </c>
      <c r="AI22" s="30">
        <v>181528.22</v>
      </c>
      <c r="AJ22" s="30">
        <v>27763.119999999999</v>
      </c>
    </row>
    <row r="23" spans="1:36" ht="267.75" x14ac:dyDescent="0.25">
      <c r="A23" s="6">
        <v>20</v>
      </c>
      <c r="B23" s="31">
        <v>126495</v>
      </c>
      <c r="C23" s="11">
        <v>558</v>
      </c>
      <c r="D23" s="9" t="s">
        <v>1638</v>
      </c>
      <c r="E23" s="32" t="s">
        <v>899</v>
      </c>
      <c r="F23" s="11" t="s">
        <v>1044</v>
      </c>
      <c r="G23" s="11" t="s">
        <v>229</v>
      </c>
      <c r="H23" s="8" t="s">
        <v>151</v>
      </c>
      <c r="I23" s="44" t="s">
        <v>2607</v>
      </c>
      <c r="J23" s="25">
        <v>43570</v>
      </c>
      <c r="K23" s="25">
        <v>44607</v>
      </c>
      <c r="L23" s="26">
        <f t="shared" si="0"/>
        <v>85</v>
      </c>
      <c r="M23" s="11">
        <v>5</v>
      </c>
      <c r="N23" s="11" t="s">
        <v>230</v>
      </c>
      <c r="O23" s="11" t="s">
        <v>230</v>
      </c>
      <c r="P23" s="40" t="s">
        <v>174</v>
      </c>
      <c r="Q23" s="11" t="s">
        <v>34</v>
      </c>
      <c r="R23" s="2">
        <f t="shared" ref="R23" si="13">S23+T23</f>
        <v>3025356.04</v>
      </c>
      <c r="S23" s="30">
        <v>3025356.04</v>
      </c>
      <c r="T23" s="41">
        <v>0</v>
      </c>
      <c r="U23" s="1">
        <f t="shared" si="2"/>
        <v>462701.51</v>
      </c>
      <c r="V23" s="42">
        <v>462701.51</v>
      </c>
      <c r="W23" s="42">
        <v>0</v>
      </c>
      <c r="X23" s="1">
        <f t="shared" si="7"/>
        <v>71184.850000000006</v>
      </c>
      <c r="Y23" s="30">
        <v>71184.850000000006</v>
      </c>
      <c r="Z23" s="30">
        <v>0</v>
      </c>
      <c r="AA23" s="2">
        <f>AB23+AC23</f>
        <v>0</v>
      </c>
      <c r="AB23" s="2">
        <v>0</v>
      </c>
      <c r="AC23" s="2">
        <v>0</v>
      </c>
      <c r="AD23" s="16">
        <f t="shared" si="6"/>
        <v>3559242.4</v>
      </c>
      <c r="AE23" s="38">
        <v>0</v>
      </c>
      <c r="AF23" s="2">
        <f t="shared" si="4"/>
        <v>3559242.4</v>
      </c>
      <c r="AG23" s="38" t="s">
        <v>857</v>
      </c>
      <c r="AH23" s="38" t="s">
        <v>1630</v>
      </c>
      <c r="AI23" s="30">
        <f>82686.68+124620.54+166745.78+1978538.51</f>
        <v>2352591.5099999998</v>
      </c>
      <c r="AJ23" s="30">
        <f>12646.21+19059.61+25502.29+302600</f>
        <v>359808.11</v>
      </c>
    </row>
    <row r="24" spans="1:36" ht="141.75" x14ac:dyDescent="0.25">
      <c r="A24" s="6">
        <v>21</v>
      </c>
      <c r="B24" s="31">
        <v>129702</v>
      </c>
      <c r="C24" s="11">
        <v>676</v>
      </c>
      <c r="D24" s="9" t="s">
        <v>1638</v>
      </c>
      <c r="E24" s="32" t="s">
        <v>1071</v>
      </c>
      <c r="F24" s="11" t="s">
        <v>1271</v>
      </c>
      <c r="G24" s="11" t="s">
        <v>620</v>
      </c>
      <c r="H24" s="8" t="s">
        <v>151</v>
      </c>
      <c r="I24" s="45" t="s">
        <v>2608</v>
      </c>
      <c r="J24" s="25">
        <v>43717</v>
      </c>
      <c r="K24" s="25">
        <v>44874</v>
      </c>
      <c r="L24" s="26">
        <f t="shared" si="0"/>
        <v>85</v>
      </c>
      <c r="M24" s="11">
        <v>5</v>
      </c>
      <c r="N24" s="11" t="s">
        <v>230</v>
      </c>
      <c r="O24" s="11" t="s">
        <v>230</v>
      </c>
      <c r="P24" s="40" t="s">
        <v>174</v>
      </c>
      <c r="Q24" s="11" t="s">
        <v>34</v>
      </c>
      <c r="R24" s="2">
        <f>S24+T24</f>
        <v>396508</v>
      </c>
      <c r="S24" s="30">
        <v>396508</v>
      </c>
      <c r="T24" s="41">
        <v>0</v>
      </c>
      <c r="U24" s="1">
        <f t="shared" si="2"/>
        <v>60642.400000000001</v>
      </c>
      <c r="V24" s="42">
        <v>60642.400000000001</v>
      </c>
      <c r="W24" s="42">
        <v>0</v>
      </c>
      <c r="X24" s="1">
        <f t="shared" si="7"/>
        <v>9329.6</v>
      </c>
      <c r="Y24" s="30">
        <v>9329.6</v>
      </c>
      <c r="Z24" s="30">
        <v>0</v>
      </c>
      <c r="AA24" s="2">
        <f>AB24+AC24</f>
        <v>0</v>
      </c>
      <c r="AB24" s="37">
        <v>0</v>
      </c>
      <c r="AC24" s="37">
        <v>0</v>
      </c>
      <c r="AD24" s="16">
        <f t="shared" si="6"/>
        <v>466480</v>
      </c>
      <c r="AE24" s="38">
        <v>0</v>
      </c>
      <c r="AF24" s="2">
        <f t="shared" si="4"/>
        <v>466480</v>
      </c>
      <c r="AG24" s="38" t="s">
        <v>486</v>
      </c>
      <c r="AH24" s="38" t="s">
        <v>2459</v>
      </c>
      <c r="AI24" s="30">
        <v>1112.6500000000001</v>
      </c>
      <c r="AJ24" s="30">
        <v>170.17</v>
      </c>
    </row>
    <row r="25" spans="1:36" ht="173.25" x14ac:dyDescent="0.25">
      <c r="A25" s="6">
        <v>22</v>
      </c>
      <c r="B25" s="31">
        <v>152186</v>
      </c>
      <c r="C25" s="11">
        <v>1139</v>
      </c>
      <c r="D25" s="9" t="s">
        <v>1639</v>
      </c>
      <c r="E25" s="24" t="s">
        <v>1801</v>
      </c>
      <c r="F25" s="31" t="s">
        <v>1933</v>
      </c>
      <c r="G25" s="11" t="s">
        <v>229</v>
      </c>
      <c r="H25" s="8" t="s">
        <v>151</v>
      </c>
      <c r="I25" s="44" t="s">
        <v>1934</v>
      </c>
      <c r="J25" s="25">
        <v>44544</v>
      </c>
      <c r="K25" s="25">
        <v>45030</v>
      </c>
      <c r="L25" s="26">
        <f t="shared" si="0"/>
        <v>85</v>
      </c>
      <c r="M25" s="11">
        <v>5</v>
      </c>
      <c r="N25" s="11" t="s">
        <v>230</v>
      </c>
      <c r="O25" s="11" t="s">
        <v>230</v>
      </c>
      <c r="P25" s="40" t="s">
        <v>174</v>
      </c>
      <c r="Q25" s="11" t="s">
        <v>34</v>
      </c>
      <c r="R25" s="2">
        <f>S25+T25</f>
        <v>256921</v>
      </c>
      <c r="S25" s="30">
        <v>256921</v>
      </c>
      <c r="T25" s="41">
        <v>0</v>
      </c>
      <c r="U25" s="1">
        <f t="shared" si="2"/>
        <v>39293.800000000003</v>
      </c>
      <c r="V25" s="42">
        <v>39293.800000000003</v>
      </c>
      <c r="W25" s="42">
        <v>0</v>
      </c>
      <c r="X25" s="1">
        <f t="shared" si="7"/>
        <v>6045.2</v>
      </c>
      <c r="Y25" s="30">
        <v>6045.2</v>
      </c>
      <c r="Z25" s="30">
        <v>0</v>
      </c>
      <c r="AA25" s="2">
        <f>AB25+AC25</f>
        <v>0</v>
      </c>
      <c r="AB25" s="37">
        <v>0</v>
      </c>
      <c r="AC25" s="37">
        <v>0</v>
      </c>
      <c r="AD25" s="16">
        <f t="shared" si="6"/>
        <v>302260</v>
      </c>
      <c r="AE25" s="38">
        <v>0</v>
      </c>
      <c r="AF25" s="2">
        <f t="shared" si="4"/>
        <v>302260</v>
      </c>
      <c r="AG25" s="38" t="s">
        <v>486</v>
      </c>
      <c r="AH25" s="38"/>
      <c r="AI25" s="30">
        <v>1264.3800000000001</v>
      </c>
      <c r="AJ25" s="30">
        <v>193.38</v>
      </c>
    </row>
    <row r="26" spans="1:36" ht="141.75" x14ac:dyDescent="0.25">
      <c r="A26" s="6">
        <v>23</v>
      </c>
      <c r="B26" s="31">
        <v>155162</v>
      </c>
      <c r="C26" s="11">
        <v>1216</v>
      </c>
      <c r="D26" s="9" t="s">
        <v>1638</v>
      </c>
      <c r="E26" s="24" t="s">
        <v>2012</v>
      </c>
      <c r="F26" s="31" t="s">
        <v>2126</v>
      </c>
      <c r="G26" s="11" t="s">
        <v>229</v>
      </c>
      <c r="H26" s="8" t="s">
        <v>151</v>
      </c>
      <c r="I26" s="44" t="s">
        <v>2609</v>
      </c>
      <c r="J26" s="25">
        <v>44663</v>
      </c>
      <c r="K26" s="25">
        <v>45150</v>
      </c>
      <c r="L26" s="26">
        <f t="shared" si="0"/>
        <v>85.000000479151623</v>
      </c>
      <c r="M26" s="11">
        <v>5</v>
      </c>
      <c r="N26" s="11" t="s">
        <v>230</v>
      </c>
      <c r="O26" s="11" t="s">
        <v>230</v>
      </c>
      <c r="P26" s="40" t="s">
        <v>174</v>
      </c>
      <c r="Q26" s="11" t="s">
        <v>34</v>
      </c>
      <c r="R26" s="2">
        <f>S26+T26</f>
        <v>1773968.71</v>
      </c>
      <c r="S26" s="30">
        <v>1773968.71</v>
      </c>
      <c r="T26" s="41">
        <v>0</v>
      </c>
      <c r="U26" s="1">
        <f t="shared" si="2"/>
        <v>271312.84999999998</v>
      </c>
      <c r="V26" s="42">
        <v>271312.84999999998</v>
      </c>
      <c r="W26" s="42">
        <v>0</v>
      </c>
      <c r="X26" s="1">
        <f t="shared" si="7"/>
        <v>41740.44</v>
      </c>
      <c r="Y26" s="30">
        <v>41740.44</v>
      </c>
      <c r="Z26" s="30">
        <v>0</v>
      </c>
      <c r="AA26" s="2">
        <f>AB26+AC26</f>
        <v>0</v>
      </c>
      <c r="AB26" s="37">
        <v>0</v>
      </c>
      <c r="AC26" s="37">
        <v>0</v>
      </c>
      <c r="AD26" s="16">
        <f t="shared" si="6"/>
        <v>2087022</v>
      </c>
      <c r="AE26" s="38">
        <v>0</v>
      </c>
      <c r="AF26" s="2">
        <f t="shared" si="4"/>
        <v>2087022</v>
      </c>
      <c r="AG26" s="38" t="s">
        <v>486</v>
      </c>
      <c r="AH26" s="38"/>
      <c r="AI26" s="30">
        <v>1264.3800000000001</v>
      </c>
      <c r="AJ26" s="30">
        <v>193.38</v>
      </c>
    </row>
    <row r="27" spans="1:36" ht="141.75" x14ac:dyDescent="0.25">
      <c r="A27" s="6">
        <v>24</v>
      </c>
      <c r="B27" s="31">
        <v>120652</v>
      </c>
      <c r="C27" s="11">
        <v>91</v>
      </c>
      <c r="D27" s="9" t="s">
        <v>1638</v>
      </c>
      <c r="E27" s="24" t="s">
        <v>277</v>
      </c>
      <c r="F27" s="11" t="s">
        <v>198</v>
      </c>
      <c r="G27" s="11" t="s">
        <v>575</v>
      </c>
      <c r="H27" s="8" t="s">
        <v>151</v>
      </c>
      <c r="I27" s="46" t="s">
        <v>203</v>
      </c>
      <c r="J27" s="25">
        <v>43145</v>
      </c>
      <c r="K27" s="25">
        <v>43510</v>
      </c>
      <c r="L27" s="26">
        <f t="shared" si="0"/>
        <v>84.999999389755786</v>
      </c>
      <c r="M27" s="11">
        <v>3</v>
      </c>
      <c r="N27" s="11" t="s">
        <v>200</v>
      </c>
      <c r="O27" s="11" t="s">
        <v>202</v>
      </c>
      <c r="P27" s="27" t="s">
        <v>174</v>
      </c>
      <c r="Q27" s="11" t="s">
        <v>34</v>
      </c>
      <c r="R27" s="2">
        <f t="shared" ref="R27" si="14">S27+T27</f>
        <v>348221.24</v>
      </c>
      <c r="S27" s="2">
        <v>348221.24</v>
      </c>
      <c r="T27" s="2">
        <v>0</v>
      </c>
      <c r="U27" s="1">
        <f t="shared" si="2"/>
        <v>53257.37</v>
      </c>
      <c r="V27" s="28">
        <v>53257.37</v>
      </c>
      <c r="W27" s="28">
        <v>0</v>
      </c>
      <c r="X27" s="1">
        <f t="shared" si="7"/>
        <v>8193.44</v>
      </c>
      <c r="Y27" s="2">
        <v>8193.44</v>
      </c>
      <c r="Z27" s="2">
        <v>0</v>
      </c>
      <c r="AA27" s="2">
        <f>AB27+AC27</f>
        <v>0</v>
      </c>
      <c r="AB27" s="2">
        <v>0</v>
      </c>
      <c r="AC27" s="2">
        <v>0</v>
      </c>
      <c r="AD27" s="16">
        <f t="shared" si="6"/>
        <v>409672.05</v>
      </c>
      <c r="AE27" s="2">
        <v>0</v>
      </c>
      <c r="AF27" s="2">
        <f t="shared" si="4"/>
        <v>409672.05</v>
      </c>
      <c r="AG27" s="21" t="s">
        <v>857</v>
      </c>
      <c r="AH27" s="29" t="s">
        <v>892</v>
      </c>
      <c r="AI27" s="30">
        <v>334492.68000000005</v>
      </c>
      <c r="AJ27" s="30">
        <v>51157.71</v>
      </c>
    </row>
    <row r="28" spans="1:36" ht="141.75" x14ac:dyDescent="0.25">
      <c r="A28" s="6">
        <v>25</v>
      </c>
      <c r="B28" s="31">
        <v>118191</v>
      </c>
      <c r="C28" s="47">
        <v>423</v>
      </c>
      <c r="D28" s="32" t="s">
        <v>1639</v>
      </c>
      <c r="E28" s="24" t="s">
        <v>507</v>
      </c>
      <c r="F28" s="11" t="s">
        <v>574</v>
      </c>
      <c r="G28" s="11" t="s">
        <v>575</v>
      </c>
      <c r="H28" s="8" t="s">
        <v>151</v>
      </c>
      <c r="I28" s="12" t="s">
        <v>576</v>
      </c>
      <c r="J28" s="25">
        <v>43284</v>
      </c>
      <c r="K28" s="25">
        <v>43649</v>
      </c>
      <c r="L28" s="26">
        <f t="shared" si="0"/>
        <v>85.000001358659858</v>
      </c>
      <c r="M28" s="11">
        <v>3</v>
      </c>
      <c r="N28" s="11" t="s">
        <v>200</v>
      </c>
      <c r="O28" s="11" t="s">
        <v>202</v>
      </c>
      <c r="P28" s="27" t="s">
        <v>174</v>
      </c>
      <c r="Q28" s="11" t="s">
        <v>34</v>
      </c>
      <c r="R28" s="48">
        <v>250246.6</v>
      </c>
      <c r="S28" s="30">
        <v>250246.6</v>
      </c>
      <c r="T28" s="2">
        <v>0</v>
      </c>
      <c r="U28" s="1">
        <f t="shared" si="2"/>
        <v>38273</v>
      </c>
      <c r="V28" s="49">
        <v>38273</v>
      </c>
      <c r="W28" s="28">
        <v>0</v>
      </c>
      <c r="X28" s="1">
        <f t="shared" si="7"/>
        <v>5888.16</v>
      </c>
      <c r="Y28" s="2">
        <v>5888.16</v>
      </c>
      <c r="Z28" s="2">
        <v>0</v>
      </c>
      <c r="AA28" s="2">
        <f t="shared" ref="AA28:AA47" si="15">AB28+AC28</f>
        <v>0</v>
      </c>
      <c r="AB28" s="2">
        <v>0</v>
      </c>
      <c r="AC28" s="2">
        <v>0</v>
      </c>
      <c r="AD28" s="16">
        <f t="shared" si="6"/>
        <v>294407.75999999995</v>
      </c>
      <c r="AE28" s="2"/>
      <c r="AF28" s="2">
        <f t="shared" si="4"/>
        <v>294407.75999999995</v>
      </c>
      <c r="AG28" s="21" t="s">
        <v>857</v>
      </c>
      <c r="AH28" s="29" t="s">
        <v>151</v>
      </c>
      <c r="AI28" s="30">
        <v>234372.19999999998</v>
      </c>
      <c r="AJ28" s="30">
        <v>35845.47</v>
      </c>
    </row>
    <row r="29" spans="1:36" ht="141.75" x14ac:dyDescent="0.25">
      <c r="A29" s="6">
        <v>26</v>
      </c>
      <c r="B29" s="31">
        <v>118741</v>
      </c>
      <c r="C29" s="11">
        <v>459</v>
      </c>
      <c r="D29" s="9" t="s">
        <v>1638</v>
      </c>
      <c r="E29" s="32" t="s">
        <v>457</v>
      </c>
      <c r="F29" s="11" t="s">
        <v>597</v>
      </c>
      <c r="G29" s="11" t="s">
        <v>598</v>
      </c>
      <c r="H29" s="8" t="s">
        <v>151</v>
      </c>
      <c r="I29" s="32" t="s">
        <v>2610</v>
      </c>
      <c r="J29" s="25">
        <v>43290</v>
      </c>
      <c r="K29" s="25">
        <v>43778</v>
      </c>
      <c r="L29" s="26">
        <f t="shared" si="0"/>
        <v>85.00000356420064</v>
      </c>
      <c r="M29" s="11">
        <v>3</v>
      </c>
      <c r="N29" s="25" t="s">
        <v>200</v>
      </c>
      <c r="O29" s="25" t="s">
        <v>202</v>
      </c>
      <c r="P29" s="25" t="s">
        <v>174</v>
      </c>
      <c r="Q29" s="11" t="s">
        <v>34</v>
      </c>
      <c r="R29" s="1">
        <v>512737.71</v>
      </c>
      <c r="S29" s="2">
        <v>512737.71</v>
      </c>
      <c r="T29" s="2">
        <v>0</v>
      </c>
      <c r="U29" s="1">
        <f t="shared" si="2"/>
        <v>78418.69</v>
      </c>
      <c r="V29" s="28">
        <v>78418.69</v>
      </c>
      <c r="W29" s="28">
        <v>0</v>
      </c>
      <c r="X29" s="1">
        <f t="shared" si="7"/>
        <v>12064.41</v>
      </c>
      <c r="Y29" s="2">
        <v>12064.41</v>
      </c>
      <c r="Z29" s="2">
        <v>0</v>
      </c>
      <c r="AA29" s="2">
        <f t="shared" si="15"/>
        <v>0</v>
      </c>
      <c r="AB29" s="2">
        <v>0</v>
      </c>
      <c r="AC29" s="2">
        <v>0</v>
      </c>
      <c r="AD29" s="16">
        <f t="shared" si="6"/>
        <v>603220.81000000006</v>
      </c>
      <c r="AE29" s="35"/>
      <c r="AF29" s="2">
        <f t="shared" si="4"/>
        <v>603220.81000000006</v>
      </c>
      <c r="AG29" s="21" t="s">
        <v>857</v>
      </c>
      <c r="AH29" s="35"/>
      <c r="AI29" s="30">
        <f>329928.18</f>
        <v>329928.18</v>
      </c>
      <c r="AJ29" s="30">
        <v>50459.58</v>
      </c>
    </row>
    <row r="30" spans="1:36" ht="141.75" x14ac:dyDescent="0.25">
      <c r="A30" s="6">
        <v>27</v>
      </c>
      <c r="B30" s="31">
        <v>126349</v>
      </c>
      <c r="C30" s="11">
        <v>566</v>
      </c>
      <c r="D30" s="9" t="s">
        <v>1638</v>
      </c>
      <c r="E30" s="32" t="s">
        <v>899</v>
      </c>
      <c r="F30" s="11" t="s">
        <v>961</v>
      </c>
      <c r="G30" s="11" t="s">
        <v>575</v>
      </c>
      <c r="H30" s="8" t="s">
        <v>151</v>
      </c>
      <c r="I30" s="32" t="s">
        <v>962</v>
      </c>
      <c r="J30" s="25">
        <v>43482</v>
      </c>
      <c r="K30" s="25">
        <v>44547</v>
      </c>
      <c r="L30" s="26">
        <f t="shared" si="0"/>
        <v>85.000000750761799</v>
      </c>
      <c r="M30" s="11">
        <v>3</v>
      </c>
      <c r="N30" s="25" t="s">
        <v>200</v>
      </c>
      <c r="O30" s="25" t="s">
        <v>202</v>
      </c>
      <c r="P30" s="25" t="s">
        <v>174</v>
      </c>
      <c r="Q30" s="11" t="s">
        <v>34</v>
      </c>
      <c r="R30" s="1">
        <f>S30+T30</f>
        <v>3396550.05</v>
      </c>
      <c r="S30" s="2">
        <v>3396550.05</v>
      </c>
      <c r="T30" s="2">
        <v>0</v>
      </c>
      <c r="U30" s="1">
        <f t="shared" si="2"/>
        <v>519472.32</v>
      </c>
      <c r="V30" s="28">
        <v>519472.32</v>
      </c>
      <c r="W30" s="28">
        <v>0</v>
      </c>
      <c r="X30" s="1">
        <f t="shared" si="7"/>
        <v>79918.83</v>
      </c>
      <c r="Y30" s="2">
        <v>79918.83</v>
      </c>
      <c r="Z30" s="2">
        <v>0</v>
      </c>
      <c r="AA30" s="2">
        <f>AB30+AC30</f>
        <v>0</v>
      </c>
      <c r="AB30" s="2">
        <v>0</v>
      </c>
      <c r="AC30" s="2">
        <v>0</v>
      </c>
      <c r="AD30" s="16">
        <f t="shared" si="6"/>
        <v>3995941.1999999997</v>
      </c>
      <c r="AE30" s="35">
        <v>0</v>
      </c>
      <c r="AF30" s="2">
        <f t="shared" si="4"/>
        <v>3995941.1999999997</v>
      </c>
      <c r="AG30" s="38" t="s">
        <v>857</v>
      </c>
      <c r="AH30" s="38" t="s">
        <v>1794</v>
      </c>
      <c r="AI30" s="30">
        <f>571396.75+311875.46+135188.65+671264.55+7347.4+9570.15+1140863.71+14280+112308.8+26117.67</f>
        <v>3000213.1399999997</v>
      </c>
      <c r="AJ30" s="30">
        <f>87390.09+47698.6+20675.91+102663.99+1123.72+1463.67+174485.04+2184+17176.64+3994.46</f>
        <v>458856.12000000005</v>
      </c>
    </row>
    <row r="31" spans="1:36" ht="141.75" x14ac:dyDescent="0.25">
      <c r="A31" s="6">
        <v>28</v>
      </c>
      <c r="B31" s="31">
        <v>128987</v>
      </c>
      <c r="C31" s="11">
        <v>649</v>
      </c>
      <c r="D31" s="9" t="s">
        <v>1638</v>
      </c>
      <c r="E31" s="50" t="s">
        <v>1071</v>
      </c>
      <c r="F31" s="31" t="s">
        <v>1097</v>
      </c>
      <c r="G31" s="11" t="s">
        <v>598</v>
      </c>
      <c r="H31" s="8" t="s">
        <v>151</v>
      </c>
      <c r="I31" s="32" t="s">
        <v>2611</v>
      </c>
      <c r="J31" s="25">
        <v>43626</v>
      </c>
      <c r="K31" s="25">
        <v>44814</v>
      </c>
      <c r="L31" s="26">
        <f t="shared" si="0"/>
        <v>85.000000101931988</v>
      </c>
      <c r="M31" s="11">
        <v>3</v>
      </c>
      <c r="N31" s="25" t="s">
        <v>200</v>
      </c>
      <c r="O31" s="25" t="s">
        <v>202</v>
      </c>
      <c r="P31" s="25" t="s">
        <v>174</v>
      </c>
      <c r="Q31" s="11" t="s">
        <v>34</v>
      </c>
      <c r="R31" s="1">
        <f>S31+T31</f>
        <v>2501668.17</v>
      </c>
      <c r="S31" s="2">
        <v>2501668.17</v>
      </c>
      <c r="T31" s="2">
        <v>0</v>
      </c>
      <c r="U31" s="1">
        <f t="shared" si="2"/>
        <v>382608.07</v>
      </c>
      <c r="V31" s="28">
        <v>382608.07</v>
      </c>
      <c r="W31" s="28">
        <v>0</v>
      </c>
      <c r="X31" s="1">
        <f t="shared" si="7"/>
        <v>58862.78</v>
      </c>
      <c r="Y31" s="2">
        <v>58862.78</v>
      </c>
      <c r="Z31" s="2">
        <v>0</v>
      </c>
      <c r="AA31" s="2">
        <f>AB31+AC31</f>
        <v>0</v>
      </c>
      <c r="AB31" s="2">
        <v>0</v>
      </c>
      <c r="AC31" s="2">
        <v>0</v>
      </c>
      <c r="AD31" s="16">
        <f t="shared" si="6"/>
        <v>2943139.0199999996</v>
      </c>
      <c r="AE31" s="51">
        <v>0</v>
      </c>
      <c r="AF31" s="2">
        <f t="shared" si="4"/>
        <v>2943139.0199999996</v>
      </c>
      <c r="AG31" s="38" t="s">
        <v>857</v>
      </c>
      <c r="AH31" s="38" t="s">
        <v>3090</v>
      </c>
      <c r="AI31" s="30">
        <f>172108.45+69321.51+212559.13+207716.59+176610.66+97419.49+160542.85+209481.3+68912.47</f>
        <v>1374672.4500000002</v>
      </c>
      <c r="AJ31" s="30">
        <f>26322.47+10602.12+32509.04+31768.42+27011.04+14899.45+24553.61+32038.33+10539.55</f>
        <v>210244.03000000003</v>
      </c>
    </row>
    <row r="32" spans="1:36" ht="141.75" x14ac:dyDescent="0.25">
      <c r="A32" s="6">
        <v>29</v>
      </c>
      <c r="B32" s="31">
        <v>135776</v>
      </c>
      <c r="C32" s="11">
        <v>799</v>
      </c>
      <c r="D32" s="9" t="s">
        <v>1638</v>
      </c>
      <c r="E32" s="24" t="s">
        <v>1441</v>
      </c>
      <c r="F32" s="31" t="s">
        <v>1889</v>
      </c>
      <c r="G32" s="11" t="s">
        <v>575</v>
      </c>
      <c r="H32" s="8" t="s">
        <v>151</v>
      </c>
      <c r="I32" s="32" t="s">
        <v>1498</v>
      </c>
      <c r="J32" s="25">
        <v>43969</v>
      </c>
      <c r="K32" s="25">
        <v>45064</v>
      </c>
      <c r="L32" s="26">
        <f t="shared" si="0"/>
        <v>85.000000325618146</v>
      </c>
      <c r="M32" s="11">
        <v>3</v>
      </c>
      <c r="N32" s="25" t="s">
        <v>200</v>
      </c>
      <c r="O32" s="25" t="s">
        <v>202</v>
      </c>
      <c r="P32" s="25" t="s">
        <v>174</v>
      </c>
      <c r="Q32" s="11" t="s">
        <v>34</v>
      </c>
      <c r="R32" s="1">
        <f>S32+T32</f>
        <v>783125.93</v>
      </c>
      <c r="S32" s="2">
        <v>783125.93</v>
      </c>
      <c r="T32" s="2">
        <v>0</v>
      </c>
      <c r="U32" s="1">
        <f t="shared" si="2"/>
        <v>119772.2</v>
      </c>
      <c r="V32" s="28">
        <v>119772.2</v>
      </c>
      <c r="W32" s="28">
        <v>0</v>
      </c>
      <c r="X32" s="1">
        <f t="shared" si="7"/>
        <v>18426.490000000002</v>
      </c>
      <c r="Y32" s="2">
        <v>18426.490000000002</v>
      </c>
      <c r="Z32" s="2">
        <v>0</v>
      </c>
      <c r="AA32" s="2">
        <f>AB32+AC32</f>
        <v>0</v>
      </c>
      <c r="AB32" s="2">
        <v>0</v>
      </c>
      <c r="AC32" s="2">
        <v>0</v>
      </c>
      <c r="AD32" s="16">
        <f t="shared" si="6"/>
        <v>921324.62</v>
      </c>
      <c r="AE32" s="51">
        <v>0</v>
      </c>
      <c r="AF32" s="2">
        <f t="shared" si="4"/>
        <v>921324.62</v>
      </c>
      <c r="AG32" s="38" t="s">
        <v>486</v>
      </c>
      <c r="AH32" s="38" t="s">
        <v>3311</v>
      </c>
      <c r="AI32" s="30">
        <f>27777.15+74882.45+3759.55+6011.2+5931.3+139757.85</f>
        <v>258119.5</v>
      </c>
      <c r="AJ32" s="30">
        <f>4248.27+11452.61+574.99+919.36+907.14+21374.73</f>
        <v>39477.1</v>
      </c>
    </row>
    <row r="33" spans="1:36" ht="189" x14ac:dyDescent="0.25">
      <c r="A33" s="6">
        <v>30</v>
      </c>
      <c r="B33" s="31">
        <v>154877</v>
      </c>
      <c r="C33" s="11">
        <v>1241</v>
      </c>
      <c r="D33" s="9" t="s">
        <v>1638</v>
      </c>
      <c r="E33" s="24" t="s">
        <v>2012</v>
      </c>
      <c r="F33" s="31" t="s">
        <v>2193</v>
      </c>
      <c r="G33" s="11" t="s">
        <v>2192</v>
      </c>
      <c r="H33" s="8" t="s">
        <v>151</v>
      </c>
      <c r="I33" s="32" t="s">
        <v>2612</v>
      </c>
      <c r="J33" s="25">
        <v>44691</v>
      </c>
      <c r="K33" s="25">
        <v>45179</v>
      </c>
      <c r="L33" s="26">
        <f t="shared" si="0"/>
        <v>84.999999965049</v>
      </c>
      <c r="M33" s="11">
        <v>3</v>
      </c>
      <c r="N33" s="25" t="s">
        <v>200</v>
      </c>
      <c r="O33" s="25" t="s">
        <v>2194</v>
      </c>
      <c r="P33" s="25" t="s">
        <v>174</v>
      </c>
      <c r="Q33" s="11" t="s">
        <v>34</v>
      </c>
      <c r="R33" s="1">
        <f>S33+T33</f>
        <v>3647964.03</v>
      </c>
      <c r="S33" s="2">
        <v>3647964.03</v>
      </c>
      <c r="T33" s="2">
        <v>0</v>
      </c>
      <c r="U33" s="1">
        <f t="shared" si="2"/>
        <v>557923.91</v>
      </c>
      <c r="V33" s="28">
        <v>557923.91</v>
      </c>
      <c r="W33" s="28">
        <v>0</v>
      </c>
      <c r="X33" s="1">
        <f t="shared" si="7"/>
        <v>85834.45</v>
      </c>
      <c r="Y33" s="2">
        <v>85834.45</v>
      </c>
      <c r="Z33" s="2">
        <v>0</v>
      </c>
      <c r="AA33" s="2">
        <f>AB33+AC33</f>
        <v>0</v>
      </c>
      <c r="AB33" s="2">
        <v>0</v>
      </c>
      <c r="AC33" s="2">
        <v>0</v>
      </c>
      <c r="AD33" s="16">
        <f t="shared" si="6"/>
        <v>4291722.3899999997</v>
      </c>
      <c r="AE33" s="51">
        <v>0</v>
      </c>
      <c r="AF33" s="2">
        <f t="shared" si="4"/>
        <v>4291722.3899999997</v>
      </c>
      <c r="AG33" s="38" t="s">
        <v>486</v>
      </c>
      <c r="AH33" s="38"/>
      <c r="AI33" s="30">
        <v>429000</v>
      </c>
      <c r="AJ33" s="30">
        <v>0</v>
      </c>
    </row>
    <row r="34" spans="1:36" ht="141.75" x14ac:dyDescent="0.25">
      <c r="A34" s="6">
        <v>31</v>
      </c>
      <c r="B34" s="31">
        <v>119613</v>
      </c>
      <c r="C34" s="11">
        <v>461</v>
      </c>
      <c r="D34" s="9" t="s">
        <v>1638</v>
      </c>
      <c r="E34" s="32" t="s">
        <v>457</v>
      </c>
      <c r="F34" s="11" t="s">
        <v>1890</v>
      </c>
      <c r="G34" s="11" t="s">
        <v>726</v>
      </c>
      <c r="H34" s="8" t="s">
        <v>151</v>
      </c>
      <c r="I34" s="32" t="s">
        <v>2613</v>
      </c>
      <c r="J34" s="25">
        <v>43320</v>
      </c>
      <c r="K34" s="25">
        <v>43646</v>
      </c>
      <c r="L34" s="26">
        <f t="shared" si="0"/>
        <v>85.00000179686964</v>
      </c>
      <c r="M34" s="11">
        <v>1</v>
      </c>
      <c r="N34" s="11" t="s">
        <v>290</v>
      </c>
      <c r="O34" s="11" t="s">
        <v>290</v>
      </c>
      <c r="P34" s="25" t="s">
        <v>174</v>
      </c>
      <c r="Q34" s="11" t="s">
        <v>34</v>
      </c>
      <c r="R34" s="2">
        <f t="shared" ref="R34" si="16">S34+T34</f>
        <v>236522.45</v>
      </c>
      <c r="S34" s="2">
        <v>236522.45</v>
      </c>
      <c r="T34" s="2">
        <v>0</v>
      </c>
      <c r="U34" s="1">
        <f t="shared" si="2"/>
        <v>36174.019999999997</v>
      </c>
      <c r="V34" s="52">
        <v>36174.019999999997</v>
      </c>
      <c r="W34" s="53">
        <v>0</v>
      </c>
      <c r="X34" s="1">
        <f t="shared" si="7"/>
        <v>5565.23</v>
      </c>
      <c r="Y34" s="39">
        <v>5565.23</v>
      </c>
      <c r="Z34" s="54">
        <v>0</v>
      </c>
      <c r="AA34" s="2">
        <v>0</v>
      </c>
      <c r="AB34" s="2">
        <v>0</v>
      </c>
      <c r="AC34" s="2">
        <v>0</v>
      </c>
      <c r="AD34" s="16">
        <f t="shared" si="6"/>
        <v>278261.7</v>
      </c>
      <c r="AE34" s="2">
        <v>37449.300000000003</v>
      </c>
      <c r="AF34" s="2">
        <f t="shared" si="4"/>
        <v>315711</v>
      </c>
      <c r="AG34" s="21" t="s">
        <v>857</v>
      </c>
      <c r="AH34" s="29" t="s">
        <v>1079</v>
      </c>
      <c r="AI34" s="30">
        <v>227036.25</v>
      </c>
      <c r="AJ34" s="30">
        <v>34723.18</v>
      </c>
    </row>
    <row r="35" spans="1:36" ht="283.5" x14ac:dyDescent="0.25">
      <c r="A35" s="6">
        <v>32</v>
      </c>
      <c r="B35" s="31">
        <v>118515</v>
      </c>
      <c r="C35" s="11">
        <v>429</v>
      </c>
      <c r="D35" s="32" t="s">
        <v>1639</v>
      </c>
      <c r="E35" s="32" t="s">
        <v>507</v>
      </c>
      <c r="F35" s="11" t="s">
        <v>768</v>
      </c>
      <c r="G35" s="11" t="s">
        <v>726</v>
      </c>
      <c r="H35" s="8" t="s">
        <v>151</v>
      </c>
      <c r="I35" s="32" t="s">
        <v>769</v>
      </c>
      <c r="J35" s="25">
        <v>43333</v>
      </c>
      <c r="K35" s="25">
        <v>43820</v>
      </c>
      <c r="L35" s="26">
        <f t="shared" si="0"/>
        <v>85</v>
      </c>
      <c r="M35" s="11">
        <v>1</v>
      </c>
      <c r="N35" s="11" t="s">
        <v>290</v>
      </c>
      <c r="O35" s="11" t="s">
        <v>290</v>
      </c>
      <c r="P35" s="25" t="s">
        <v>174</v>
      </c>
      <c r="Q35" s="11" t="s">
        <v>34</v>
      </c>
      <c r="R35" s="2">
        <f t="shared" ref="R35:R36" si="17">S35+T35</f>
        <v>339452.6</v>
      </c>
      <c r="S35" s="30">
        <v>339452.6</v>
      </c>
      <c r="T35" s="30">
        <v>0</v>
      </c>
      <c r="U35" s="1">
        <f t="shared" si="2"/>
        <v>51916.28</v>
      </c>
      <c r="V35" s="42">
        <v>51916.28</v>
      </c>
      <c r="W35" s="55">
        <v>0</v>
      </c>
      <c r="X35" s="1">
        <f t="shared" si="7"/>
        <v>7987.12</v>
      </c>
      <c r="Y35" s="30">
        <v>7987.12</v>
      </c>
      <c r="Z35" s="30">
        <v>0</v>
      </c>
      <c r="AA35" s="2">
        <f t="shared" si="15"/>
        <v>0</v>
      </c>
      <c r="AB35" s="2">
        <v>0</v>
      </c>
      <c r="AC35" s="2">
        <v>0</v>
      </c>
      <c r="AD35" s="16">
        <f t="shared" si="6"/>
        <v>399356</v>
      </c>
      <c r="AE35" s="2">
        <v>58024.99</v>
      </c>
      <c r="AF35" s="2">
        <f t="shared" si="4"/>
        <v>457380.99</v>
      </c>
      <c r="AG35" s="38" t="s">
        <v>857</v>
      </c>
      <c r="AH35" s="29" t="s">
        <v>151</v>
      </c>
      <c r="AI35" s="30">
        <v>321570.08</v>
      </c>
      <c r="AJ35" s="30">
        <v>49181.31</v>
      </c>
    </row>
    <row r="36" spans="1:36" ht="157.5" x14ac:dyDescent="0.25">
      <c r="A36" s="6">
        <v>33</v>
      </c>
      <c r="B36" s="31">
        <v>126161</v>
      </c>
      <c r="C36" s="11">
        <v>571</v>
      </c>
      <c r="D36" s="9" t="s">
        <v>1638</v>
      </c>
      <c r="E36" s="32" t="s">
        <v>899</v>
      </c>
      <c r="F36" s="11" t="s">
        <v>920</v>
      </c>
      <c r="G36" s="11" t="s">
        <v>287</v>
      </c>
      <c r="H36" s="8" t="s">
        <v>151</v>
      </c>
      <c r="I36" s="32" t="s">
        <v>921</v>
      </c>
      <c r="J36" s="25">
        <v>43444</v>
      </c>
      <c r="K36" s="25">
        <v>44691</v>
      </c>
      <c r="L36" s="26">
        <f t="shared" si="0"/>
        <v>84.999999835393808</v>
      </c>
      <c r="M36" s="11">
        <v>1</v>
      </c>
      <c r="N36" s="11" t="s">
        <v>290</v>
      </c>
      <c r="O36" s="11" t="s">
        <v>290</v>
      </c>
      <c r="P36" s="25" t="s">
        <v>174</v>
      </c>
      <c r="Q36" s="11" t="s">
        <v>34</v>
      </c>
      <c r="R36" s="2">
        <f t="shared" si="17"/>
        <v>2323727.9300000002</v>
      </c>
      <c r="S36" s="30">
        <v>2323727.9300000002</v>
      </c>
      <c r="T36" s="30">
        <v>0</v>
      </c>
      <c r="U36" s="1">
        <f t="shared" si="2"/>
        <v>355393.68</v>
      </c>
      <c r="V36" s="42">
        <v>355393.68</v>
      </c>
      <c r="W36" s="55">
        <v>0</v>
      </c>
      <c r="X36" s="1">
        <f t="shared" si="7"/>
        <v>54675.96</v>
      </c>
      <c r="Y36" s="30">
        <v>54675.96</v>
      </c>
      <c r="Z36" s="30">
        <v>0</v>
      </c>
      <c r="AA36" s="2">
        <f t="shared" si="15"/>
        <v>0</v>
      </c>
      <c r="AB36" s="2">
        <v>0</v>
      </c>
      <c r="AC36" s="2">
        <v>0</v>
      </c>
      <c r="AD36" s="16">
        <f t="shared" si="6"/>
        <v>2733797.5700000003</v>
      </c>
      <c r="AE36" s="2">
        <v>80920</v>
      </c>
      <c r="AF36" s="2">
        <f t="shared" si="4"/>
        <v>2814717.5700000003</v>
      </c>
      <c r="AG36" s="38" t="s">
        <v>857</v>
      </c>
      <c r="AH36" s="29" t="s">
        <v>1810</v>
      </c>
      <c r="AI36" s="30">
        <f>250763.77+23449.8+19694.5+1046062.95+19963.1+59091.83+236490.4+39448.5+58262.4+14191.35+86759.48+263614.85</f>
        <v>2117792.9300000002</v>
      </c>
      <c r="AJ36" s="30">
        <f>38352.11+3586.44+3012.1+159986.1+3053.18+9037.57+36169.12+6033.3+8910.72+2170.43+13269.1+40317.57</f>
        <v>323897.73999999993</v>
      </c>
    </row>
    <row r="37" spans="1:36" ht="141.75" x14ac:dyDescent="0.25">
      <c r="A37" s="6">
        <v>34</v>
      </c>
      <c r="B37" s="31">
        <v>128880</v>
      </c>
      <c r="C37" s="11">
        <v>652</v>
      </c>
      <c r="D37" s="9" t="s">
        <v>1638</v>
      </c>
      <c r="E37" s="32" t="s">
        <v>1071</v>
      </c>
      <c r="F37" s="11" t="s">
        <v>1131</v>
      </c>
      <c r="G37" s="11" t="s">
        <v>726</v>
      </c>
      <c r="H37" s="8" t="s">
        <v>151</v>
      </c>
      <c r="I37" s="32" t="s">
        <v>1132</v>
      </c>
      <c r="J37" s="25">
        <v>43643</v>
      </c>
      <c r="K37" s="25">
        <v>44557</v>
      </c>
      <c r="L37" s="26">
        <f t="shared" si="0"/>
        <v>85</v>
      </c>
      <c r="M37" s="11">
        <v>1</v>
      </c>
      <c r="N37" s="11" t="s">
        <v>290</v>
      </c>
      <c r="O37" s="11" t="s">
        <v>290</v>
      </c>
      <c r="P37" s="25" t="s">
        <v>174</v>
      </c>
      <c r="Q37" s="11" t="s">
        <v>34</v>
      </c>
      <c r="R37" s="2">
        <f>S37+T37</f>
        <v>2545487.35</v>
      </c>
      <c r="S37" s="30">
        <v>2545487.35</v>
      </c>
      <c r="T37" s="30">
        <v>0</v>
      </c>
      <c r="U37" s="1">
        <f t="shared" si="2"/>
        <v>389309.83</v>
      </c>
      <c r="V37" s="42">
        <v>389309.83</v>
      </c>
      <c r="W37" s="42">
        <v>0</v>
      </c>
      <c r="X37" s="1">
        <f t="shared" si="7"/>
        <v>59893.82</v>
      </c>
      <c r="Y37" s="30">
        <v>59893.82</v>
      </c>
      <c r="Z37" s="30">
        <v>0</v>
      </c>
      <c r="AA37" s="2">
        <f>AB37+AC37</f>
        <v>0</v>
      </c>
      <c r="AB37" s="1">
        <v>0</v>
      </c>
      <c r="AC37" s="1">
        <v>0</v>
      </c>
      <c r="AD37" s="16">
        <f t="shared" si="6"/>
        <v>2994691</v>
      </c>
      <c r="AE37" s="2">
        <v>0</v>
      </c>
      <c r="AF37" s="2">
        <f t="shared" si="4"/>
        <v>2994691</v>
      </c>
      <c r="AG37" s="38" t="s">
        <v>857</v>
      </c>
      <c r="AH37" s="29" t="s">
        <v>1688</v>
      </c>
      <c r="AI37" s="30">
        <f>1923767.25+34464.05+214238.9+30679.2+21241.5+23456.06</f>
        <v>2247846.9600000004</v>
      </c>
      <c r="AJ37" s="30">
        <f>294223.22+5270.97+32765.95+4692.12+3248.7+3587.4</f>
        <v>343788.36</v>
      </c>
    </row>
    <row r="38" spans="1:36" ht="141.75" x14ac:dyDescent="0.25">
      <c r="A38" s="6">
        <v>35</v>
      </c>
      <c r="B38" s="31">
        <v>120769</v>
      </c>
      <c r="C38" s="11">
        <v>96</v>
      </c>
      <c r="D38" s="9" t="s">
        <v>1638</v>
      </c>
      <c r="E38" s="24" t="s">
        <v>277</v>
      </c>
      <c r="F38" s="11" t="s">
        <v>1891</v>
      </c>
      <c r="G38" s="11" t="s">
        <v>287</v>
      </c>
      <c r="H38" s="11" t="s">
        <v>288</v>
      </c>
      <c r="I38" s="45" t="s">
        <v>289</v>
      </c>
      <c r="J38" s="25">
        <v>43186</v>
      </c>
      <c r="K38" s="25">
        <v>43673</v>
      </c>
      <c r="L38" s="26">
        <f t="shared" si="0"/>
        <v>84.154097257132506</v>
      </c>
      <c r="M38" s="11">
        <v>1</v>
      </c>
      <c r="N38" s="11" t="s">
        <v>290</v>
      </c>
      <c r="O38" s="11" t="s">
        <v>290</v>
      </c>
      <c r="P38" s="27" t="s">
        <v>174</v>
      </c>
      <c r="Q38" s="11" t="s">
        <v>34</v>
      </c>
      <c r="R38" s="2">
        <f t="shared" ref="R38:R45" si="18">S38+T38</f>
        <v>357519.4</v>
      </c>
      <c r="S38" s="2">
        <v>357519.4</v>
      </c>
      <c r="T38" s="2">
        <v>0</v>
      </c>
      <c r="U38" s="1">
        <f t="shared" si="2"/>
        <v>58822.79</v>
      </c>
      <c r="V38" s="28">
        <v>58822.79</v>
      </c>
      <c r="W38" s="28">
        <v>0</v>
      </c>
      <c r="X38" s="1">
        <f t="shared" si="7"/>
        <v>8496.7800000000007</v>
      </c>
      <c r="Y38" s="2">
        <v>8496.7800000000007</v>
      </c>
      <c r="Z38" s="2">
        <v>0</v>
      </c>
      <c r="AA38" s="2">
        <f t="shared" ref="AA38" si="19">AB38+AC38</f>
        <v>0</v>
      </c>
      <c r="AB38" s="2">
        <v>0</v>
      </c>
      <c r="AC38" s="2">
        <v>0</v>
      </c>
      <c r="AD38" s="16">
        <f t="shared" si="6"/>
        <v>424838.97000000003</v>
      </c>
      <c r="AE38" s="2">
        <v>0</v>
      </c>
      <c r="AF38" s="2">
        <f t="shared" si="4"/>
        <v>424838.97000000003</v>
      </c>
      <c r="AG38" s="38" t="s">
        <v>857</v>
      </c>
      <c r="AH38" s="29" t="s">
        <v>151</v>
      </c>
      <c r="AI38" s="30">
        <v>328987.4200000001</v>
      </c>
      <c r="AJ38" s="30">
        <v>54146.78</v>
      </c>
    </row>
    <row r="39" spans="1:36" ht="267.75" x14ac:dyDescent="0.25">
      <c r="A39" s="6">
        <v>36</v>
      </c>
      <c r="B39" s="31">
        <v>128863</v>
      </c>
      <c r="C39" s="11">
        <v>638</v>
      </c>
      <c r="D39" s="9" t="s">
        <v>1638</v>
      </c>
      <c r="E39" s="24" t="s">
        <v>1071</v>
      </c>
      <c r="F39" s="11" t="s">
        <v>1195</v>
      </c>
      <c r="G39" s="11" t="s">
        <v>1196</v>
      </c>
      <c r="H39" s="8" t="s">
        <v>151</v>
      </c>
      <c r="I39" s="45" t="s">
        <v>2614</v>
      </c>
      <c r="J39" s="25">
        <v>43679</v>
      </c>
      <c r="K39" s="25">
        <v>44471</v>
      </c>
      <c r="L39" s="26">
        <f t="shared" si="0"/>
        <v>84.99999967540424</v>
      </c>
      <c r="M39" s="11">
        <v>1</v>
      </c>
      <c r="N39" s="11" t="s">
        <v>290</v>
      </c>
      <c r="O39" s="11" t="s">
        <v>1197</v>
      </c>
      <c r="P39" s="27" t="s">
        <v>174</v>
      </c>
      <c r="Q39" s="11" t="s">
        <v>34</v>
      </c>
      <c r="R39" s="2">
        <f t="shared" si="18"/>
        <v>2356777.4300000002</v>
      </c>
      <c r="S39" s="2">
        <v>2356777.4300000002</v>
      </c>
      <c r="T39" s="2">
        <v>0</v>
      </c>
      <c r="U39" s="1">
        <f t="shared" si="2"/>
        <v>360448.32</v>
      </c>
      <c r="V39" s="28">
        <v>360448.32</v>
      </c>
      <c r="W39" s="28">
        <v>0</v>
      </c>
      <c r="X39" s="1">
        <f t="shared" si="7"/>
        <v>55453.59</v>
      </c>
      <c r="Y39" s="2">
        <v>55453.59</v>
      </c>
      <c r="Z39" s="2">
        <v>0</v>
      </c>
      <c r="AA39" s="2">
        <v>0</v>
      </c>
      <c r="AB39" s="2">
        <v>0</v>
      </c>
      <c r="AC39" s="2">
        <v>0</v>
      </c>
      <c r="AD39" s="16">
        <f t="shared" si="6"/>
        <v>2772679.34</v>
      </c>
      <c r="AE39" s="2">
        <v>0</v>
      </c>
      <c r="AF39" s="2">
        <f t="shared" si="4"/>
        <v>2772679.34</v>
      </c>
      <c r="AG39" s="38" t="s">
        <v>857</v>
      </c>
      <c r="AH39" s="29" t="s">
        <v>1732</v>
      </c>
      <c r="AI39" s="30">
        <f>2811.97+97537.5+36969.05+997291.46+249334.75+469958.2+472269.35+4652.9</f>
        <v>2330825.1799999997</v>
      </c>
      <c r="AJ39" s="30">
        <f>430.07+14917.5+5654.09+152526.93+38133.55+71875.96+72229.43+711.62</f>
        <v>356479.15</v>
      </c>
    </row>
    <row r="40" spans="1:36" ht="267.75" x14ac:dyDescent="0.25">
      <c r="A40" s="6">
        <v>37</v>
      </c>
      <c r="B40" s="31">
        <v>135485</v>
      </c>
      <c r="C40" s="11">
        <v>790</v>
      </c>
      <c r="D40" s="9" t="s">
        <v>1638</v>
      </c>
      <c r="E40" s="24" t="s">
        <v>1441</v>
      </c>
      <c r="F40" s="11" t="s">
        <v>1449</v>
      </c>
      <c r="G40" s="11" t="s">
        <v>1196</v>
      </c>
      <c r="H40" s="8" t="s">
        <v>151</v>
      </c>
      <c r="I40" s="12" t="s">
        <v>2615</v>
      </c>
      <c r="J40" s="25">
        <v>43949</v>
      </c>
      <c r="K40" s="25">
        <v>44954</v>
      </c>
      <c r="L40" s="26">
        <f t="shared" si="0"/>
        <v>85.000000553699934</v>
      </c>
      <c r="M40" s="11">
        <v>1</v>
      </c>
      <c r="N40" s="11" t="s">
        <v>290</v>
      </c>
      <c r="O40" s="11" t="s">
        <v>1197</v>
      </c>
      <c r="P40" s="27" t="s">
        <v>174</v>
      </c>
      <c r="Q40" s="11" t="s">
        <v>1450</v>
      </c>
      <c r="R40" s="2">
        <f t="shared" si="18"/>
        <v>2302691.2400000002</v>
      </c>
      <c r="S40" s="2">
        <v>2302691.2400000002</v>
      </c>
      <c r="T40" s="2">
        <v>0</v>
      </c>
      <c r="U40" s="1">
        <f t="shared" si="2"/>
        <v>352176.29</v>
      </c>
      <c r="V40" s="28">
        <v>352176.29</v>
      </c>
      <c r="W40" s="28">
        <v>0</v>
      </c>
      <c r="X40" s="1">
        <f t="shared" si="7"/>
        <v>54180.969999999994</v>
      </c>
      <c r="Y40" s="2">
        <v>54180.969999999994</v>
      </c>
      <c r="Z40" s="2">
        <v>0</v>
      </c>
      <c r="AA40" s="2">
        <v>0</v>
      </c>
      <c r="AB40" s="2">
        <v>0</v>
      </c>
      <c r="AC40" s="2">
        <v>0</v>
      </c>
      <c r="AD40" s="16">
        <f t="shared" si="6"/>
        <v>2709048.5000000005</v>
      </c>
      <c r="AE40" s="2">
        <v>0</v>
      </c>
      <c r="AF40" s="2">
        <f t="shared" si="4"/>
        <v>2709048.5000000005</v>
      </c>
      <c r="AG40" s="38" t="s">
        <v>486</v>
      </c>
      <c r="AH40" s="29" t="s">
        <v>3282</v>
      </c>
      <c r="AI40" s="30">
        <f>24515.7+74707.79+52395.7+50365.26+13233.65+1052263.46+19737+455175</f>
        <v>1742393.56</v>
      </c>
      <c r="AJ40" s="30">
        <f>3749.46+11425.9+8013.46+7702.92+2023.97+160934.4+3018.6+69615</f>
        <v>266483.70999999996</v>
      </c>
    </row>
    <row r="41" spans="1:36" ht="267.75" x14ac:dyDescent="0.25">
      <c r="A41" s="6">
        <v>38</v>
      </c>
      <c r="B41" s="31">
        <v>136322</v>
      </c>
      <c r="C41" s="11">
        <v>833</v>
      </c>
      <c r="D41" s="9" t="s">
        <v>1638</v>
      </c>
      <c r="E41" s="24" t="s">
        <v>1441</v>
      </c>
      <c r="F41" s="11" t="s">
        <v>1452</v>
      </c>
      <c r="G41" s="11" t="s">
        <v>287</v>
      </c>
      <c r="H41" s="8" t="s">
        <v>151</v>
      </c>
      <c r="I41" s="12" t="s">
        <v>2616</v>
      </c>
      <c r="J41" s="25">
        <v>43957</v>
      </c>
      <c r="K41" s="25">
        <v>44687</v>
      </c>
      <c r="L41" s="26">
        <f t="shared" si="0"/>
        <v>85</v>
      </c>
      <c r="M41" s="11">
        <v>1</v>
      </c>
      <c r="N41" s="11" t="s">
        <v>290</v>
      </c>
      <c r="O41" s="11" t="s">
        <v>290</v>
      </c>
      <c r="P41" s="27" t="s">
        <v>174</v>
      </c>
      <c r="Q41" s="11" t="s">
        <v>1450</v>
      </c>
      <c r="R41" s="2">
        <f t="shared" si="18"/>
        <v>813366.19</v>
      </c>
      <c r="S41" s="2">
        <v>813366.19</v>
      </c>
      <c r="T41" s="2">
        <v>0</v>
      </c>
      <c r="U41" s="1">
        <f t="shared" si="2"/>
        <v>124397.18</v>
      </c>
      <c r="V41" s="28">
        <v>124397.18</v>
      </c>
      <c r="W41" s="28">
        <v>0</v>
      </c>
      <c r="X41" s="1">
        <f t="shared" si="7"/>
        <v>19138.03</v>
      </c>
      <c r="Y41" s="2">
        <v>19138.03</v>
      </c>
      <c r="Z41" s="2">
        <v>0</v>
      </c>
      <c r="AA41" s="2">
        <v>0</v>
      </c>
      <c r="AB41" s="2">
        <v>0</v>
      </c>
      <c r="AC41" s="2">
        <v>0</v>
      </c>
      <c r="AD41" s="16">
        <f t="shared" si="6"/>
        <v>956901.39999999991</v>
      </c>
      <c r="AE41" s="2">
        <v>0</v>
      </c>
      <c r="AF41" s="2">
        <f t="shared" si="4"/>
        <v>956901.39999999991</v>
      </c>
      <c r="AG41" s="38" t="s">
        <v>857</v>
      </c>
      <c r="AH41" s="29" t="s">
        <v>1962</v>
      </c>
      <c r="AI41" s="30">
        <f>35884.37+50135.18+9778.4+63310.55+10298.6+24197.63+118421.46+225302.7+8545.05+12423.6+97068.92</f>
        <v>655366.46000000008</v>
      </c>
      <c r="AJ41" s="30">
        <f>5488.19+7667.73+1495.52+9682.79+1575.08+3700.81+18111.52+34458.06+1306.89+1900.08+14845.84</f>
        <v>100232.51</v>
      </c>
    </row>
    <row r="42" spans="1:36" ht="267.75" x14ac:dyDescent="0.25">
      <c r="A42" s="6">
        <v>39</v>
      </c>
      <c r="B42" s="31">
        <v>136013</v>
      </c>
      <c r="C42" s="11">
        <v>808</v>
      </c>
      <c r="D42" s="9" t="s">
        <v>1638</v>
      </c>
      <c r="E42" s="24" t="s">
        <v>1441</v>
      </c>
      <c r="F42" s="11" t="s">
        <v>1554</v>
      </c>
      <c r="G42" s="11" t="s">
        <v>726</v>
      </c>
      <c r="H42" s="8" t="s">
        <v>151</v>
      </c>
      <c r="I42" s="12" t="s">
        <v>2617</v>
      </c>
      <c r="J42" s="25">
        <v>44011</v>
      </c>
      <c r="K42" s="25">
        <v>44924</v>
      </c>
      <c r="L42" s="26">
        <f t="shared" si="0"/>
        <v>85.000000296794198</v>
      </c>
      <c r="M42" s="11">
        <v>1</v>
      </c>
      <c r="N42" s="11" t="s">
        <v>290</v>
      </c>
      <c r="O42" s="11" t="s">
        <v>290</v>
      </c>
      <c r="P42" s="27" t="s">
        <v>174</v>
      </c>
      <c r="Q42" s="11" t="s">
        <v>1450</v>
      </c>
      <c r="R42" s="2">
        <f t="shared" si="18"/>
        <v>2863937.31</v>
      </c>
      <c r="S42" s="2">
        <v>2863937.31</v>
      </c>
      <c r="T42" s="2">
        <v>0</v>
      </c>
      <c r="U42" s="1">
        <f t="shared" si="2"/>
        <v>438012.95</v>
      </c>
      <c r="V42" s="28">
        <v>438012.95</v>
      </c>
      <c r="W42" s="28">
        <v>0</v>
      </c>
      <c r="X42" s="1">
        <f t="shared" si="7"/>
        <v>67387.740000000005</v>
      </c>
      <c r="Y42" s="2">
        <v>67387.740000000005</v>
      </c>
      <c r="Z42" s="2">
        <v>0</v>
      </c>
      <c r="AA42" s="2">
        <v>0</v>
      </c>
      <c r="AB42" s="2">
        <v>0</v>
      </c>
      <c r="AC42" s="2">
        <v>0</v>
      </c>
      <c r="AD42" s="16">
        <f t="shared" si="6"/>
        <v>3369338.0000000005</v>
      </c>
      <c r="AE42" s="2">
        <v>0</v>
      </c>
      <c r="AF42" s="2">
        <f t="shared" si="4"/>
        <v>3369338.0000000005</v>
      </c>
      <c r="AG42" s="38" t="s">
        <v>486</v>
      </c>
      <c r="AH42" s="29" t="s">
        <v>1962</v>
      </c>
      <c r="AI42" s="30">
        <f>164751.47+35609.9+75630.45+54146.7+50044.6+202300+182176.21+47423.2+690084.4+8889.3+44517.05+351213.03</f>
        <v>1906786.31</v>
      </c>
      <c r="AJ42" s="30">
        <f>25196.79+5446.22+11567.01+8281.26+38593.88+27862.24+7252.96+105542.32+1359.54+6808.49+53714.93</f>
        <v>291625.64</v>
      </c>
    </row>
    <row r="43" spans="1:36" ht="267.75" x14ac:dyDescent="0.25">
      <c r="A43" s="6">
        <v>40</v>
      </c>
      <c r="B43" s="31">
        <v>152175</v>
      </c>
      <c r="C43" s="11">
        <v>1120</v>
      </c>
      <c r="D43" s="9" t="s">
        <v>1639</v>
      </c>
      <c r="E43" s="24" t="s">
        <v>1801</v>
      </c>
      <c r="F43" s="11" t="s">
        <v>1847</v>
      </c>
      <c r="G43" s="11" t="s">
        <v>1196</v>
      </c>
      <c r="H43" s="8" t="s">
        <v>151</v>
      </c>
      <c r="I43" s="12" t="s">
        <v>2618</v>
      </c>
      <c r="J43" s="25">
        <v>44498</v>
      </c>
      <c r="K43" s="25">
        <v>44924</v>
      </c>
      <c r="L43" s="26">
        <f t="shared" si="0"/>
        <v>85.000000000000014</v>
      </c>
      <c r="M43" s="11">
        <v>1</v>
      </c>
      <c r="N43" s="11" t="s">
        <v>290</v>
      </c>
      <c r="O43" s="11" t="s">
        <v>1197</v>
      </c>
      <c r="P43" s="27" t="s">
        <v>174</v>
      </c>
      <c r="Q43" s="11" t="s">
        <v>1450</v>
      </c>
      <c r="R43" s="2">
        <f t="shared" si="18"/>
        <v>352183.9</v>
      </c>
      <c r="S43" s="2">
        <v>352183.9</v>
      </c>
      <c r="T43" s="2">
        <v>0</v>
      </c>
      <c r="U43" s="1">
        <f t="shared" si="2"/>
        <v>53863.42</v>
      </c>
      <c r="V43" s="28">
        <v>53863.42</v>
      </c>
      <c r="W43" s="28">
        <v>0</v>
      </c>
      <c r="X43" s="1">
        <f t="shared" si="7"/>
        <v>8286.68</v>
      </c>
      <c r="Y43" s="2">
        <v>8286.68</v>
      </c>
      <c r="Z43" s="2">
        <v>0</v>
      </c>
      <c r="AA43" s="2">
        <v>0</v>
      </c>
      <c r="AB43" s="2">
        <v>0</v>
      </c>
      <c r="AC43" s="2">
        <v>0</v>
      </c>
      <c r="AD43" s="16">
        <f t="shared" si="6"/>
        <v>414334</v>
      </c>
      <c r="AE43" s="2">
        <v>0</v>
      </c>
      <c r="AF43" s="2">
        <f t="shared" si="4"/>
        <v>414334</v>
      </c>
      <c r="AG43" s="38" t="s">
        <v>486</v>
      </c>
      <c r="AH43" s="29" t="s">
        <v>3313</v>
      </c>
      <c r="AI43" s="30">
        <f>111265+35188.09+114153.13</f>
        <v>260606.22</v>
      </c>
      <c r="AJ43" s="30">
        <f>17017+5381.7+17458.71</f>
        <v>39857.410000000003</v>
      </c>
    </row>
    <row r="44" spans="1:36" ht="267.75" x14ac:dyDescent="0.25">
      <c r="A44" s="6">
        <v>41</v>
      </c>
      <c r="B44" s="31">
        <v>155130</v>
      </c>
      <c r="C44" s="11">
        <v>1190</v>
      </c>
      <c r="D44" s="9" t="s">
        <v>1638</v>
      </c>
      <c r="E44" s="24" t="s">
        <v>2012</v>
      </c>
      <c r="F44" s="11" t="s">
        <v>2205</v>
      </c>
      <c r="G44" s="11" t="s">
        <v>1196</v>
      </c>
      <c r="H44" s="8" t="s">
        <v>151</v>
      </c>
      <c r="I44" s="12" t="s">
        <v>2619</v>
      </c>
      <c r="J44" s="25">
        <v>44697</v>
      </c>
      <c r="K44" s="25">
        <v>45123</v>
      </c>
      <c r="L44" s="26">
        <f t="shared" si="0"/>
        <v>85.000000000000014</v>
      </c>
      <c r="M44" s="11">
        <v>1</v>
      </c>
      <c r="N44" s="11" t="s">
        <v>290</v>
      </c>
      <c r="O44" s="11" t="s">
        <v>1197</v>
      </c>
      <c r="P44" s="27" t="s">
        <v>174</v>
      </c>
      <c r="Q44" s="11" t="s">
        <v>1450</v>
      </c>
      <c r="R44" s="2">
        <f t="shared" si="18"/>
        <v>1186552.3999999999</v>
      </c>
      <c r="S44" s="2">
        <v>1186552.3999999999</v>
      </c>
      <c r="T44" s="2">
        <v>0</v>
      </c>
      <c r="U44" s="1">
        <f t="shared" si="2"/>
        <v>181472.72</v>
      </c>
      <c r="V44" s="28">
        <v>181472.72</v>
      </c>
      <c r="W44" s="28">
        <v>0</v>
      </c>
      <c r="X44" s="1">
        <f t="shared" si="7"/>
        <v>27918.880000000001</v>
      </c>
      <c r="Y44" s="2">
        <v>27918.880000000001</v>
      </c>
      <c r="Z44" s="2">
        <v>0</v>
      </c>
      <c r="AA44" s="2">
        <v>0</v>
      </c>
      <c r="AB44" s="2">
        <v>0</v>
      </c>
      <c r="AC44" s="2">
        <v>0</v>
      </c>
      <c r="AD44" s="16">
        <f t="shared" si="6"/>
        <v>1395943.9999999998</v>
      </c>
      <c r="AE44" s="2">
        <v>0</v>
      </c>
      <c r="AF44" s="2">
        <f t="shared" si="4"/>
        <v>1395943.9999999998</v>
      </c>
      <c r="AG44" s="38" t="s">
        <v>486</v>
      </c>
      <c r="AH44" s="29" t="s">
        <v>151</v>
      </c>
      <c r="AI44" s="30">
        <v>0</v>
      </c>
      <c r="AJ44" s="30">
        <v>0</v>
      </c>
    </row>
    <row r="45" spans="1:36" ht="252" x14ac:dyDescent="0.25">
      <c r="A45" s="6">
        <v>42</v>
      </c>
      <c r="B45" s="31">
        <v>155105</v>
      </c>
      <c r="C45" s="11">
        <v>1247</v>
      </c>
      <c r="D45" s="9" t="s">
        <v>1638</v>
      </c>
      <c r="E45" s="24" t="s">
        <v>2012</v>
      </c>
      <c r="F45" s="11" t="s">
        <v>2219</v>
      </c>
      <c r="G45" s="11" t="s">
        <v>287</v>
      </c>
      <c r="H45" s="8" t="s">
        <v>151</v>
      </c>
      <c r="I45" s="12" t="s">
        <v>2620</v>
      </c>
      <c r="J45" s="25">
        <v>44707</v>
      </c>
      <c r="K45" s="25">
        <v>45195</v>
      </c>
      <c r="L45" s="26">
        <f t="shared" si="0"/>
        <v>85</v>
      </c>
      <c r="M45" s="11">
        <v>1</v>
      </c>
      <c r="N45" s="11" t="s">
        <v>290</v>
      </c>
      <c r="O45" s="11" t="s">
        <v>290</v>
      </c>
      <c r="P45" s="27" t="s">
        <v>174</v>
      </c>
      <c r="Q45" s="11" t="s">
        <v>34</v>
      </c>
      <c r="R45" s="2">
        <f t="shared" si="18"/>
        <v>2529859.9300000002</v>
      </c>
      <c r="S45" s="2">
        <v>2529859.9300000002</v>
      </c>
      <c r="T45" s="2">
        <v>0</v>
      </c>
      <c r="U45" s="1">
        <f t="shared" si="2"/>
        <v>386919.75</v>
      </c>
      <c r="V45" s="28">
        <v>386919.75</v>
      </c>
      <c r="W45" s="28">
        <v>0</v>
      </c>
      <c r="X45" s="1">
        <f t="shared" si="7"/>
        <v>59526.12</v>
      </c>
      <c r="Y45" s="2">
        <v>59526.12</v>
      </c>
      <c r="Z45" s="2">
        <v>0</v>
      </c>
      <c r="AA45" s="2">
        <v>0</v>
      </c>
      <c r="AB45" s="2">
        <v>0</v>
      </c>
      <c r="AC45" s="2">
        <v>0</v>
      </c>
      <c r="AD45" s="16">
        <f t="shared" si="6"/>
        <v>2976305.8000000003</v>
      </c>
      <c r="AE45" s="2">
        <v>0</v>
      </c>
      <c r="AF45" s="2">
        <f t="shared" si="4"/>
        <v>2976305.8000000003</v>
      </c>
      <c r="AG45" s="38" t="s">
        <v>486</v>
      </c>
      <c r="AH45" s="29" t="s">
        <v>151</v>
      </c>
      <c r="AI45" s="30">
        <v>0</v>
      </c>
      <c r="AJ45" s="30">
        <v>0</v>
      </c>
    </row>
    <row r="46" spans="1:36" ht="186" customHeight="1" x14ac:dyDescent="0.25">
      <c r="A46" s="6">
        <v>43</v>
      </c>
      <c r="B46" s="31">
        <v>122823</v>
      </c>
      <c r="C46" s="11">
        <v>71</v>
      </c>
      <c r="D46" s="9" t="s">
        <v>1638</v>
      </c>
      <c r="E46" s="24" t="s">
        <v>277</v>
      </c>
      <c r="F46" s="27" t="s">
        <v>420</v>
      </c>
      <c r="G46" s="11" t="s">
        <v>418</v>
      </c>
      <c r="H46" s="8" t="s">
        <v>151</v>
      </c>
      <c r="I46" s="12" t="s">
        <v>419</v>
      </c>
      <c r="J46" s="25">
        <v>43244</v>
      </c>
      <c r="K46" s="25">
        <v>43823</v>
      </c>
      <c r="L46" s="26">
        <f t="shared" si="0"/>
        <v>85.000001791562255</v>
      </c>
      <c r="M46" s="11">
        <v>6</v>
      </c>
      <c r="N46" s="11" t="s">
        <v>416</v>
      </c>
      <c r="O46" s="11" t="s">
        <v>417</v>
      </c>
      <c r="P46" s="56" t="s">
        <v>174</v>
      </c>
      <c r="Q46" s="32" t="s">
        <v>34</v>
      </c>
      <c r="R46" s="2">
        <f t="shared" ref="R46:R53" si="20">S46+T46</f>
        <v>355834.7</v>
      </c>
      <c r="S46" s="30">
        <v>355834.7</v>
      </c>
      <c r="T46" s="2">
        <v>0</v>
      </c>
      <c r="U46" s="1">
        <f t="shared" si="2"/>
        <v>54421.769999999982</v>
      </c>
      <c r="V46" s="42">
        <v>54421.769999999982</v>
      </c>
      <c r="W46" s="53">
        <v>0</v>
      </c>
      <c r="X46" s="1">
        <f t="shared" si="7"/>
        <v>8372.58</v>
      </c>
      <c r="Y46" s="39">
        <v>8372.58</v>
      </c>
      <c r="Z46" s="54">
        <v>0</v>
      </c>
      <c r="AA46" s="2">
        <v>0</v>
      </c>
      <c r="AB46" s="2">
        <v>0</v>
      </c>
      <c r="AC46" s="2">
        <v>0</v>
      </c>
      <c r="AD46" s="16">
        <f t="shared" si="6"/>
        <v>418629.05</v>
      </c>
      <c r="AE46" s="2">
        <v>0</v>
      </c>
      <c r="AF46" s="2">
        <f t="shared" si="4"/>
        <v>418629.05</v>
      </c>
      <c r="AG46" s="38" t="s">
        <v>857</v>
      </c>
      <c r="AH46" s="29" t="s">
        <v>1214</v>
      </c>
      <c r="AI46" s="30">
        <v>317160.34000000008</v>
      </c>
      <c r="AJ46" s="30">
        <f>32329.21+5317.87+5421.22+5438.54</f>
        <v>48506.840000000004</v>
      </c>
    </row>
    <row r="47" spans="1:36" ht="141.75" x14ac:dyDescent="0.25">
      <c r="A47" s="6">
        <v>44</v>
      </c>
      <c r="B47" s="24">
        <v>119767</v>
      </c>
      <c r="C47" s="24">
        <v>475</v>
      </c>
      <c r="D47" s="9" t="s">
        <v>1638</v>
      </c>
      <c r="E47" s="32" t="s">
        <v>457</v>
      </c>
      <c r="F47" s="27" t="s">
        <v>676</v>
      </c>
      <c r="G47" s="27" t="s">
        <v>677</v>
      </c>
      <c r="H47" s="8" t="s">
        <v>151</v>
      </c>
      <c r="I47" s="12" t="s">
        <v>2621</v>
      </c>
      <c r="J47" s="25">
        <v>43306</v>
      </c>
      <c r="K47" s="25">
        <v>43976</v>
      </c>
      <c r="L47" s="26">
        <f t="shared" si="0"/>
        <v>85.000000000000014</v>
      </c>
      <c r="M47" s="11">
        <v>6</v>
      </c>
      <c r="N47" s="25" t="s">
        <v>416</v>
      </c>
      <c r="O47" s="25" t="s">
        <v>678</v>
      </c>
      <c r="P47" s="25" t="s">
        <v>174</v>
      </c>
      <c r="Q47" s="11" t="s">
        <v>34</v>
      </c>
      <c r="R47" s="2">
        <f t="shared" si="20"/>
        <v>518392.9</v>
      </c>
      <c r="S47" s="2">
        <v>518392.9</v>
      </c>
      <c r="T47" s="2">
        <v>0</v>
      </c>
      <c r="U47" s="1">
        <f t="shared" si="2"/>
        <v>79283.62</v>
      </c>
      <c r="V47" s="42">
        <v>79283.62</v>
      </c>
      <c r="W47" s="53">
        <v>0</v>
      </c>
      <c r="X47" s="1">
        <f t="shared" si="7"/>
        <v>12197.48</v>
      </c>
      <c r="Y47" s="57">
        <v>12197.48</v>
      </c>
      <c r="Z47" s="54">
        <v>0</v>
      </c>
      <c r="AA47" s="2">
        <f t="shared" si="15"/>
        <v>0</v>
      </c>
      <c r="AB47" s="2">
        <v>0</v>
      </c>
      <c r="AC47" s="2">
        <v>0</v>
      </c>
      <c r="AD47" s="16">
        <f t="shared" si="6"/>
        <v>609874</v>
      </c>
      <c r="AE47" s="2">
        <v>0</v>
      </c>
      <c r="AF47" s="2">
        <f t="shared" si="4"/>
        <v>609874</v>
      </c>
      <c r="AG47" s="38" t="s">
        <v>857</v>
      </c>
      <c r="AH47" s="29" t="s">
        <v>1291</v>
      </c>
      <c r="AI47" s="30">
        <f>446121.14+44941.37</f>
        <v>491062.51</v>
      </c>
      <c r="AJ47" s="30">
        <f>68230.29+6873.39</f>
        <v>75103.679999999993</v>
      </c>
    </row>
    <row r="48" spans="1:36" ht="269.25" customHeight="1" x14ac:dyDescent="0.25">
      <c r="A48" s="6">
        <v>45</v>
      </c>
      <c r="B48" s="24">
        <v>129383</v>
      </c>
      <c r="C48" s="24">
        <v>685</v>
      </c>
      <c r="D48" s="9" t="s">
        <v>1638</v>
      </c>
      <c r="E48" s="32" t="s">
        <v>1071</v>
      </c>
      <c r="F48" s="27" t="s">
        <v>1156</v>
      </c>
      <c r="G48" s="27" t="s">
        <v>1279</v>
      </c>
      <c r="H48" s="8" t="s">
        <v>151</v>
      </c>
      <c r="I48" s="12" t="s">
        <v>2622</v>
      </c>
      <c r="J48" s="25">
        <v>43657</v>
      </c>
      <c r="K48" s="25">
        <v>44845</v>
      </c>
      <c r="L48" s="26">
        <f t="shared" si="0"/>
        <v>85.000000150473397</v>
      </c>
      <c r="M48" s="11">
        <v>6</v>
      </c>
      <c r="N48" s="25" t="s">
        <v>416</v>
      </c>
      <c r="O48" s="25" t="s">
        <v>1155</v>
      </c>
      <c r="P48" s="25" t="s">
        <v>174</v>
      </c>
      <c r="Q48" s="11" t="s">
        <v>34</v>
      </c>
      <c r="R48" s="2">
        <f t="shared" si="20"/>
        <v>2541977.39</v>
      </c>
      <c r="S48" s="2">
        <v>2541977.39</v>
      </c>
      <c r="T48" s="2">
        <v>0</v>
      </c>
      <c r="U48" s="1">
        <f t="shared" si="2"/>
        <v>388773.02</v>
      </c>
      <c r="V48" s="42">
        <v>388773.02</v>
      </c>
      <c r="W48" s="53">
        <v>0</v>
      </c>
      <c r="X48" s="1">
        <f t="shared" si="7"/>
        <v>59811.22</v>
      </c>
      <c r="Y48" s="57">
        <v>59811.22</v>
      </c>
      <c r="Z48" s="54">
        <v>0</v>
      </c>
      <c r="AA48" s="2">
        <v>0</v>
      </c>
      <c r="AB48" s="2">
        <v>0</v>
      </c>
      <c r="AC48" s="2">
        <v>0</v>
      </c>
      <c r="AD48" s="16">
        <f t="shared" si="6"/>
        <v>2990561.6300000004</v>
      </c>
      <c r="AE48" s="2">
        <v>0</v>
      </c>
      <c r="AF48" s="2">
        <f t="shared" si="4"/>
        <v>2990561.6300000004</v>
      </c>
      <c r="AG48" s="38" t="s">
        <v>857</v>
      </c>
      <c r="AH48" s="29" t="s">
        <v>2345</v>
      </c>
      <c r="AI48" s="30">
        <f>130989.25+2398.77+240645.96</f>
        <v>374033.98</v>
      </c>
      <c r="AJ48" s="30">
        <f>20033.65+366.87+36804.69</f>
        <v>57205.210000000006</v>
      </c>
    </row>
    <row r="49" spans="1:36" ht="269.25" customHeight="1" x14ac:dyDescent="0.25">
      <c r="A49" s="6">
        <v>46</v>
      </c>
      <c r="B49" s="24">
        <v>129525</v>
      </c>
      <c r="C49" s="24">
        <v>678</v>
      </c>
      <c r="D49" s="9" t="s">
        <v>1638</v>
      </c>
      <c r="E49" s="24" t="s">
        <v>1071</v>
      </c>
      <c r="F49" s="27" t="s">
        <v>1278</v>
      </c>
      <c r="G49" s="27" t="s">
        <v>677</v>
      </c>
      <c r="H49" s="8" t="s">
        <v>151</v>
      </c>
      <c r="I49" s="12" t="s">
        <v>2623</v>
      </c>
      <c r="J49" s="25">
        <v>43724</v>
      </c>
      <c r="K49" s="25">
        <v>44911</v>
      </c>
      <c r="L49" s="26">
        <f t="shared" si="0"/>
        <v>85.000000715914808</v>
      </c>
      <c r="M49" s="11">
        <v>6</v>
      </c>
      <c r="N49" s="25" t="s">
        <v>416</v>
      </c>
      <c r="O49" s="25" t="s">
        <v>1155</v>
      </c>
      <c r="P49" s="25" t="s">
        <v>174</v>
      </c>
      <c r="Q49" s="11" t="s">
        <v>34</v>
      </c>
      <c r="R49" s="2">
        <f t="shared" si="20"/>
        <v>2255855.02</v>
      </c>
      <c r="S49" s="2">
        <v>2255855.02</v>
      </c>
      <c r="T49" s="2">
        <v>0</v>
      </c>
      <c r="U49" s="1">
        <f t="shared" si="2"/>
        <v>345013.09</v>
      </c>
      <c r="V49" s="42">
        <v>345013.09</v>
      </c>
      <c r="W49" s="53">
        <v>0</v>
      </c>
      <c r="X49" s="1">
        <f t="shared" si="7"/>
        <v>53078.95</v>
      </c>
      <c r="Y49" s="57">
        <v>53078.95</v>
      </c>
      <c r="Z49" s="54">
        <v>0</v>
      </c>
      <c r="AA49" s="2">
        <v>0</v>
      </c>
      <c r="AB49" s="2">
        <v>0</v>
      </c>
      <c r="AC49" s="2">
        <v>0</v>
      </c>
      <c r="AD49" s="16">
        <f t="shared" si="6"/>
        <v>2653947.06</v>
      </c>
      <c r="AE49" s="2">
        <v>0</v>
      </c>
      <c r="AF49" s="2">
        <f t="shared" si="4"/>
        <v>2653947.06</v>
      </c>
      <c r="AG49" s="38" t="s">
        <v>486</v>
      </c>
      <c r="AH49" s="29" t="s">
        <v>2005</v>
      </c>
      <c r="AI49" s="30">
        <f>210000-16810.94-18.2+12969.09+32363.75</f>
        <v>238503.69999999998</v>
      </c>
      <c r="AJ49" s="30">
        <f>16810.94+18.2+14698.15+4949.75</f>
        <v>36477.040000000001</v>
      </c>
    </row>
    <row r="50" spans="1:36" ht="267.75" x14ac:dyDescent="0.25">
      <c r="A50" s="6">
        <v>47</v>
      </c>
      <c r="B50" s="58">
        <v>135923</v>
      </c>
      <c r="C50" s="59">
        <v>789</v>
      </c>
      <c r="D50" s="9" t="s">
        <v>1638</v>
      </c>
      <c r="E50" s="60" t="s">
        <v>1441</v>
      </c>
      <c r="F50" s="59" t="s">
        <v>1474</v>
      </c>
      <c r="G50" s="59" t="s">
        <v>1475</v>
      </c>
      <c r="H50" s="8" t="s">
        <v>151</v>
      </c>
      <c r="I50" s="61" t="s">
        <v>1476</v>
      </c>
      <c r="J50" s="62">
        <v>43969</v>
      </c>
      <c r="K50" s="62">
        <v>44548</v>
      </c>
      <c r="L50" s="26">
        <f t="shared" si="0"/>
        <v>85.000001598813043</v>
      </c>
      <c r="M50" s="59">
        <v>6</v>
      </c>
      <c r="N50" s="59" t="s">
        <v>416</v>
      </c>
      <c r="O50" s="59" t="s">
        <v>1477</v>
      </c>
      <c r="P50" s="63" t="s">
        <v>174</v>
      </c>
      <c r="Q50" s="64" t="s">
        <v>1450</v>
      </c>
      <c r="R50" s="2">
        <f t="shared" si="20"/>
        <v>531644.41</v>
      </c>
      <c r="S50" s="65">
        <v>531644.41</v>
      </c>
      <c r="T50" s="65">
        <v>0</v>
      </c>
      <c r="U50" s="1">
        <f t="shared" si="2"/>
        <v>81310.31</v>
      </c>
      <c r="V50" s="66">
        <v>81310.31</v>
      </c>
      <c r="W50" s="66">
        <v>0</v>
      </c>
      <c r="X50" s="1">
        <f t="shared" si="7"/>
        <v>12509.28</v>
      </c>
      <c r="Y50" s="65">
        <v>12509.28</v>
      </c>
      <c r="Z50" s="65">
        <v>0</v>
      </c>
      <c r="AA50" s="2">
        <v>0</v>
      </c>
      <c r="AB50" s="2">
        <v>0</v>
      </c>
      <c r="AC50" s="2">
        <v>0</v>
      </c>
      <c r="AD50" s="16">
        <f t="shared" si="6"/>
        <v>625464</v>
      </c>
      <c r="AE50" s="2">
        <v>0</v>
      </c>
      <c r="AF50" s="2">
        <f t="shared" si="4"/>
        <v>625464</v>
      </c>
      <c r="AG50" s="38" t="s">
        <v>857</v>
      </c>
      <c r="AH50" s="29" t="s">
        <v>1749</v>
      </c>
      <c r="AI50" s="30">
        <f>12749.15+312173.15+131747.89</f>
        <v>456670.19000000006</v>
      </c>
      <c r="AJ50" s="30">
        <f>1949.87+47744.13+20149.67</f>
        <v>69843.67</v>
      </c>
    </row>
    <row r="51" spans="1:36" ht="267.75" x14ac:dyDescent="0.25">
      <c r="A51" s="6">
        <v>48</v>
      </c>
      <c r="B51" s="58">
        <v>135973</v>
      </c>
      <c r="C51" s="59">
        <v>820</v>
      </c>
      <c r="D51" s="9" t="s">
        <v>1638</v>
      </c>
      <c r="E51" s="60" t="s">
        <v>1441</v>
      </c>
      <c r="F51" s="59" t="s">
        <v>1545</v>
      </c>
      <c r="G51" s="59" t="s">
        <v>1279</v>
      </c>
      <c r="H51" s="8" t="s">
        <v>151</v>
      </c>
      <c r="I51" s="61" t="s">
        <v>1546</v>
      </c>
      <c r="J51" s="62">
        <v>44001</v>
      </c>
      <c r="K51" s="62">
        <v>45279</v>
      </c>
      <c r="L51" s="26">
        <f t="shared" si="0"/>
        <v>84.999999931221893</v>
      </c>
      <c r="M51" s="59">
        <v>6</v>
      </c>
      <c r="N51" s="59" t="s">
        <v>416</v>
      </c>
      <c r="O51" s="59" t="s">
        <v>1279</v>
      </c>
      <c r="P51" s="63" t="s">
        <v>174</v>
      </c>
      <c r="Q51" s="64" t="s">
        <v>1450</v>
      </c>
      <c r="R51" s="2">
        <f t="shared" si="20"/>
        <v>3089646.17</v>
      </c>
      <c r="S51" s="65">
        <v>3089646.17</v>
      </c>
      <c r="T51" s="65">
        <v>0</v>
      </c>
      <c r="U51" s="1">
        <f t="shared" si="2"/>
        <v>472534.12</v>
      </c>
      <c r="V51" s="66">
        <v>472534.12</v>
      </c>
      <c r="W51" s="66">
        <v>0</v>
      </c>
      <c r="X51" s="1">
        <f t="shared" si="7"/>
        <v>72697.56</v>
      </c>
      <c r="Y51" s="65">
        <v>72697.56</v>
      </c>
      <c r="Z51" s="65">
        <v>0</v>
      </c>
      <c r="AA51" s="2">
        <v>0</v>
      </c>
      <c r="AB51" s="2">
        <v>0</v>
      </c>
      <c r="AC51" s="2">
        <v>0</v>
      </c>
      <c r="AD51" s="16">
        <f t="shared" si="6"/>
        <v>3634877.85</v>
      </c>
      <c r="AE51" s="2">
        <v>0</v>
      </c>
      <c r="AF51" s="2">
        <f t="shared" si="4"/>
        <v>3634877.85</v>
      </c>
      <c r="AG51" s="38" t="s">
        <v>486</v>
      </c>
      <c r="AH51" s="29" t="s">
        <v>3274</v>
      </c>
      <c r="AI51" s="30">
        <f>2528.75+617217.3</f>
        <v>619746.05000000005</v>
      </c>
      <c r="AJ51" s="30">
        <f>386.75+94397.94</f>
        <v>94784.69</v>
      </c>
    </row>
    <row r="52" spans="1:36" ht="267.75" x14ac:dyDescent="0.25">
      <c r="A52" s="6">
        <v>49</v>
      </c>
      <c r="B52" s="58">
        <v>152205</v>
      </c>
      <c r="C52" s="59">
        <v>1143</v>
      </c>
      <c r="D52" s="9" t="s">
        <v>1639</v>
      </c>
      <c r="E52" s="24" t="s">
        <v>1801</v>
      </c>
      <c r="F52" s="59" t="s">
        <v>1938</v>
      </c>
      <c r="G52" s="59" t="s">
        <v>1475</v>
      </c>
      <c r="H52" s="8" t="s">
        <v>151</v>
      </c>
      <c r="I52" s="61" t="s">
        <v>2624</v>
      </c>
      <c r="J52" s="62">
        <v>44546</v>
      </c>
      <c r="K52" s="62">
        <v>44911</v>
      </c>
      <c r="L52" s="26">
        <f t="shared" si="0"/>
        <v>85.000001206367202</v>
      </c>
      <c r="M52" s="59">
        <v>6</v>
      </c>
      <c r="N52" s="59" t="s">
        <v>416</v>
      </c>
      <c r="O52" s="59" t="s">
        <v>1477</v>
      </c>
      <c r="P52" s="63" t="s">
        <v>174</v>
      </c>
      <c r="Q52" s="64" t="s">
        <v>1450</v>
      </c>
      <c r="R52" s="2">
        <f t="shared" si="20"/>
        <v>352297.38</v>
      </c>
      <c r="S52" s="65">
        <v>352297.38</v>
      </c>
      <c r="T52" s="65">
        <v>0</v>
      </c>
      <c r="U52" s="1">
        <f t="shared" si="2"/>
        <v>53880.77</v>
      </c>
      <c r="V52" s="66">
        <v>53880.77</v>
      </c>
      <c r="W52" s="66">
        <v>0</v>
      </c>
      <c r="X52" s="1">
        <f t="shared" si="7"/>
        <v>8289.35</v>
      </c>
      <c r="Y52" s="65">
        <v>8289.35</v>
      </c>
      <c r="Z52" s="65">
        <v>0</v>
      </c>
      <c r="AA52" s="2">
        <v>0</v>
      </c>
      <c r="AB52" s="2">
        <v>0</v>
      </c>
      <c r="AC52" s="2">
        <v>0</v>
      </c>
      <c r="AD52" s="16">
        <f t="shared" si="6"/>
        <v>414467.5</v>
      </c>
      <c r="AE52" s="2">
        <v>0</v>
      </c>
      <c r="AF52" s="2">
        <f t="shared" si="4"/>
        <v>414467.5</v>
      </c>
      <c r="AG52" s="38" t="s">
        <v>486</v>
      </c>
      <c r="AH52" s="29"/>
      <c r="AI52" s="30">
        <v>0</v>
      </c>
      <c r="AJ52" s="30">
        <v>0</v>
      </c>
    </row>
    <row r="53" spans="1:36" ht="267.75" x14ac:dyDescent="0.25">
      <c r="A53" s="6">
        <v>50</v>
      </c>
      <c r="B53" s="58">
        <v>155163</v>
      </c>
      <c r="C53" s="59">
        <v>1204</v>
      </c>
      <c r="D53" s="9" t="s">
        <v>1638</v>
      </c>
      <c r="E53" s="24" t="s">
        <v>2012</v>
      </c>
      <c r="F53" s="59" t="s">
        <v>2137</v>
      </c>
      <c r="G53" s="59" t="s">
        <v>418</v>
      </c>
      <c r="H53" s="8" t="s">
        <v>151</v>
      </c>
      <c r="I53" s="61" t="s">
        <v>2625</v>
      </c>
      <c r="J53" s="62">
        <v>44665</v>
      </c>
      <c r="K53" s="62">
        <v>45152</v>
      </c>
      <c r="L53" s="26">
        <f t="shared" si="0"/>
        <v>85.000000266827954</v>
      </c>
      <c r="M53" s="59">
        <v>6</v>
      </c>
      <c r="N53" s="59" t="s">
        <v>416</v>
      </c>
      <c r="O53" s="59" t="s">
        <v>417</v>
      </c>
      <c r="P53" s="63" t="s">
        <v>174</v>
      </c>
      <c r="Q53" s="64" t="s">
        <v>1450</v>
      </c>
      <c r="R53" s="2">
        <f t="shared" si="20"/>
        <v>1592786.7</v>
      </c>
      <c r="S53" s="65">
        <v>1592786.7</v>
      </c>
      <c r="T53" s="65">
        <v>0</v>
      </c>
      <c r="U53" s="1">
        <f t="shared" si="2"/>
        <v>243602.67</v>
      </c>
      <c r="V53" s="66">
        <v>243602.67</v>
      </c>
      <c r="W53" s="66">
        <v>0</v>
      </c>
      <c r="X53" s="1">
        <f t="shared" si="7"/>
        <v>37477.33</v>
      </c>
      <c r="Y53" s="65">
        <v>37477.33</v>
      </c>
      <c r="Z53" s="65">
        <v>0</v>
      </c>
      <c r="AA53" s="2">
        <v>0</v>
      </c>
      <c r="AB53" s="2">
        <v>0</v>
      </c>
      <c r="AC53" s="2">
        <v>0</v>
      </c>
      <c r="AD53" s="16">
        <f t="shared" si="6"/>
        <v>1873866.7</v>
      </c>
      <c r="AE53" s="2">
        <v>0</v>
      </c>
      <c r="AF53" s="2">
        <f t="shared" si="4"/>
        <v>1873866.7</v>
      </c>
      <c r="AG53" s="38" t="s">
        <v>486</v>
      </c>
      <c r="AH53" s="29"/>
      <c r="AI53" s="30">
        <v>180000</v>
      </c>
      <c r="AJ53" s="30">
        <v>0</v>
      </c>
    </row>
    <row r="54" spans="1:36" s="185" customFormat="1" ht="141.75" x14ac:dyDescent="0.25">
      <c r="A54" s="6">
        <v>51</v>
      </c>
      <c r="B54" s="31">
        <v>120599</v>
      </c>
      <c r="C54" s="11">
        <v>75</v>
      </c>
      <c r="D54" s="9" t="s">
        <v>1638</v>
      </c>
      <c r="E54" s="24" t="s">
        <v>277</v>
      </c>
      <c r="F54" s="27" t="s">
        <v>204</v>
      </c>
      <c r="G54" s="11" t="s">
        <v>205</v>
      </c>
      <c r="H54" s="8" t="s">
        <v>151</v>
      </c>
      <c r="I54" s="56" t="s">
        <v>679</v>
      </c>
      <c r="J54" s="25">
        <v>43145</v>
      </c>
      <c r="K54" s="25">
        <v>43813</v>
      </c>
      <c r="L54" s="26">
        <f t="shared" si="0"/>
        <v>84.999998786570643</v>
      </c>
      <c r="M54" s="11">
        <v>6</v>
      </c>
      <c r="N54" s="11" t="s">
        <v>218</v>
      </c>
      <c r="O54" s="11" t="s">
        <v>1501</v>
      </c>
      <c r="P54" s="27" t="s">
        <v>174</v>
      </c>
      <c r="Q54" s="32" t="s">
        <v>34</v>
      </c>
      <c r="R54" s="2">
        <f t="shared" ref="R54:R63" si="21">S54+T54</f>
        <v>350247</v>
      </c>
      <c r="S54" s="2">
        <v>350247</v>
      </c>
      <c r="T54" s="2">
        <v>0</v>
      </c>
      <c r="U54" s="1">
        <f t="shared" si="2"/>
        <v>53567.19</v>
      </c>
      <c r="V54" s="42">
        <v>53567.19</v>
      </c>
      <c r="W54" s="53">
        <v>0</v>
      </c>
      <c r="X54" s="1">
        <f t="shared" si="7"/>
        <v>8241.11</v>
      </c>
      <c r="Y54" s="57">
        <v>8241.11</v>
      </c>
      <c r="Z54" s="1">
        <v>0</v>
      </c>
      <c r="AA54" s="2">
        <v>0</v>
      </c>
      <c r="AB54" s="2">
        <v>0</v>
      </c>
      <c r="AC54" s="2">
        <v>0</v>
      </c>
      <c r="AD54" s="16">
        <f t="shared" si="6"/>
        <v>412055.3</v>
      </c>
      <c r="AE54" s="2">
        <v>0</v>
      </c>
      <c r="AF54" s="2">
        <f t="shared" ref="AF54:AF61" si="22">AD54+AE54</f>
        <v>412055.3</v>
      </c>
      <c r="AG54" s="21" t="s">
        <v>857</v>
      </c>
      <c r="AH54" s="29" t="s">
        <v>1106</v>
      </c>
      <c r="AI54" s="30">
        <v>299284.74</v>
      </c>
      <c r="AJ54" s="30">
        <v>45772.95</v>
      </c>
    </row>
    <row r="55" spans="1:36" s="185" customFormat="1" ht="141.75" x14ac:dyDescent="0.25">
      <c r="A55" s="6">
        <v>52</v>
      </c>
      <c r="B55" s="31">
        <v>128636</v>
      </c>
      <c r="C55" s="11">
        <v>687</v>
      </c>
      <c r="D55" s="9" t="s">
        <v>1638</v>
      </c>
      <c r="E55" s="24" t="s">
        <v>1071</v>
      </c>
      <c r="F55" s="67" t="s">
        <v>1303</v>
      </c>
      <c r="G55" s="11" t="s">
        <v>205</v>
      </c>
      <c r="H55" s="8" t="s">
        <v>151</v>
      </c>
      <c r="I55" s="56" t="s">
        <v>1304</v>
      </c>
      <c r="J55" s="25">
        <v>43739</v>
      </c>
      <c r="K55" s="25">
        <v>44287</v>
      </c>
      <c r="L55" s="26">
        <f t="shared" si="0"/>
        <v>85</v>
      </c>
      <c r="M55" s="11">
        <v>6</v>
      </c>
      <c r="N55" s="11" t="s">
        <v>218</v>
      </c>
      <c r="O55" s="11" t="s">
        <v>1501</v>
      </c>
      <c r="P55" s="27" t="s">
        <v>174</v>
      </c>
      <c r="Q55" s="32" t="s">
        <v>34</v>
      </c>
      <c r="R55" s="2">
        <f t="shared" si="21"/>
        <v>1364282.3</v>
      </c>
      <c r="S55" s="2">
        <v>1364282.3</v>
      </c>
      <c r="T55" s="2">
        <v>0</v>
      </c>
      <c r="U55" s="1">
        <f t="shared" si="2"/>
        <v>208654.94</v>
      </c>
      <c r="V55" s="42">
        <v>208654.94</v>
      </c>
      <c r="W55" s="53">
        <v>0</v>
      </c>
      <c r="X55" s="1">
        <f t="shared" si="7"/>
        <v>32100.76</v>
      </c>
      <c r="Y55" s="57">
        <v>32100.76</v>
      </c>
      <c r="Z55" s="1">
        <v>0</v>
      </c>
      <c r="AA55" s="2">
        <v>0</v>
      </c>
      <c r="AB55" s="2">
        <v>0</v>
      </c>
      <c r="AC55" s="2">
        <v>0</v>
      </c>
      <c r="AD55" s="16">
        <f t="shared" si="6"/>
        <v>1605038</v>
      </c>
      <c r="AE55" s="2">
        <v>0</v>
      </c>
      <c r="AF55" s="2">
        <f t="shared" si="22"/>
        <v>1605038</v>
      </c>
      <c r="AG55" s="38" t="s">
        <v>857</v>
      </c>
      <c r="AH55" s="29" t="s">
        <v>1712</v>
      </c>
      <c r="AI55" s="30">
        <f>50302.83+49799.8+40727.75+36651.15+171566.55+974297.03</f>
        <v>1323345.1099999999</v>
      </c>
      <c r="AJ55" s="30">
        <f>7693.37+7616.44+6228.95+5605.47+26239.59+149010.13</f>
        <v>202393.95</v>
      </c>
    </row>
    <row r="56" spans="1:36" s="185" customFormat="1" ht="204.75" x14ac:dyDescent="0.25">
      <c r="A56" s="6">
        <v>53</v>
      </c>
      <c r="B56" s="31">
        <v>129687</v>
      </c>
      <c r="C56" s="11">
        <v>667</v>
      </c>
      <c r="D56" s="9" t="s">
        <v>1638</v>
      </c>
      <c r="E56" s="24" t="s">
        <v>1071</v>
      </c>
      <c r="F56" s="67" t="s">
        <v>1144</v>
      </c>
      <c r="G56" s="11" t="s">
        <v>1145</v>
      </c>
      <c r="H56" s="8" t="s">
        <v>151</v>
      </c>
      <c r="I56" s="56" t="s">
        <v>2626</v>
      </c>
      <c r="J56" s="25">
        <v>43654</v>
      </c>
      <c r="K56" s="25">
        <v>44508</v>
      </c>
      <c r="L56" s="26">
        <f t="shared" si="0"/>
        <v>85</v>
      </c>
      <c r="M56" s="11">
        <f>$M$54</f>
        <v>6</v>
      </c>
      <c r="N56" s="11" t="str">
        <f t="shared" ref="N56" si="23">N54</f>
        <v>Bistrița-Năsăud</v>
      </c>
      <c r="O56" s="11" t="s">
        <v>1501</v>
      </c>
      <c r="P56" s="27" t="s">
        <v>174</v>
      </c>
      <c r="Q56" s="32" t="s">
        <v>34</v>
      </c>
      <c r="R56" s="2">
        <f t="shared" si="21"/>
        <v>2626630.9</v>
      </c>
      <c r="S56" s="2">
        <v>2626630.9</v>
      </c>
      <c r="T56" s="2">
        <v>0</v>
      </c>
      <c r="U56" s="1">
        <f t="shared" si="2"/>
        <v>401720.02</v>
      </c>
      <c r="V56" s="42">
        <v>401720.02</v>
      </c>
      <c r="W56" s="53">
        <v>0</v>
      </c>
      <c r="X56" s="1">
        <f t="shared" si="7"/>
        <v>61803.08</v>
      </c>
      <c r="Y56" s="57">
        <v>61803.08</v>
      </c>
      <c r="Z56" s="1">
        <v>0</v>
      </c>
      <c r="AA56" s="2">
        <v>0</v>
      </c>
      <c r="AB56" s="2">
        <v>0</v>
      </c>
      <c r="AC56" s="2">
        <v>0</v>
      </c>
      <c r="AD56" s="16">
        <f t="shared" si="6"/>
        <v>3090154</v>
      </c>
      <c r="AE56" s="2">
        <v>0</v>
      </c>
      <c r="AF56" s="2">
        <f t="shared" si="22"/>
        <v>3090154</v>
      </c>
      <c r="AG56" s="21" t="s">
        <v>857</v>
      </c>
      <c r="AH56" s="29" t="s">
        <v>1765</v>
      </c>
      <c r="AI56" s="30">
        <f>71886.37+17000+26602.45+30668.85+392844.76+327144.99+42386.4+151027.08+939356.03</f>
        <v>1998916.93</v>
      </c>
      <c r="AJ56" s="30">
        <f>10994.39+2600+4068.61+4690.53+60082.13+50033.94+6482.62+23098.25+143666.23</f>
        <v>305716.7</v>
      </c>
    </row>
    <row r="57" spans="1:36" s="185" customFormat="1" ht="141.75" x14ac:dyDescent="0.25">
      <c r="A57" s="6">
        <v>54</v>
      </c>
      <c r="B57" s="31">
        <v>135977</v>
      </c>
      <c r="C57" s="11">
        <v>766</v>
      </c>
      <c r="D57" s="9" t="s">
        <v>1638</v>
      </c>
      <c r="E57" s="24" t="s">
        <v>1441</v>
      </c>
      <c r="F57" s="11" t="s">
        <v>1499</v>
      </c>
      <c r="G57" s="11" t="s">
        <v>205</v>
      </c>
      <c r="H57" s="8" t="s">
        <v>151</v>
      </c>
      <c r="I57" s="12" t="s">
        <v>1500</v>
      </c>
      <c r="J57" s="25">
        <v>43973</v>
      </c>
      <c r="K57" s="25">
        <v>44917</v>
      </c>
      <c r="L57" s="26">
        <f t="shared" si="0"/>
        <v>84.99999942527073</v>
      </c>
      <c r="M57" s="11">
        <v>6</v>
      </c>
      <c r="N57" s="11" t="s">
        <v>218</v>
      </c>
      <c r="O57" s="11" t="s">
        <v>1501</v>
      </c>
      <c r="P57" s="27" t="s">
        <v>174</v>
      </c>
      <c r="Q57" s="11" t="s">
        <v>34</v>
      </c>
      <c r="R57" s="2">
        <f t="shared" si="21"/>
        <v>665530.76</v>
      </c>
      <c r="S57" s="2">
        <v>665530.76</v>
      </c>
      <c r="T57" s="2">
        <v>0</v>
      </c>
      <c r="U57" s="1">
        <f t="shared" si="2"/>
        <v>101787.06</v>
      </c>
      <c r="V57" s="28">
        <v>101787.06</v>
      </c>
      <c r="W57" s="28">
        <v>0</v>
      </c>
      <c r="X57" s="1">
        <f t="shared" si="7"/>
        <v>15659.55</v>
      </c>
      <c r="Y57" s="2">
        <v>15659.55</v>
      </c>
      <c r="Z57" s="2">
        <v>0</v>
      </c>
      <c r="AA57" s="2">
        <v>0</v>
      </c>
      <c r="AB57" s="2">
        <v>0</v>
      </c>
      <c r="AC57" s="2">
        <v>0</v>
      </c>
      <c r="AD57" s="16">
        <f t="shared" si="6"/>
        <v>782977.37000000011</v>
      </c>
      <c r="AE57" s="2">
        <v>0</v>
      </c>
      <c r="AF57" s="2">
        <f t="shared" si="22"/>
        <v>782977.37000000011</v>
      </c>
      <c r="AG57" s="21" t="s">
        <v>1431</v>
      </c>
      <c r="AH57" s="29" t="s">
        <v>3279</v>
      </c>
      <c r="AI57" s="30">
        <f>35945.1+78297.73-9685.65</f>
        <v>104557.18</v>
      </c>
      <c r="AJ57" s="30">
        <f>5497.48+9685.65</f>
        <v>15183.13</v>
      </c>
    </row>
    <row r="58" spans="1:36" s="185" customFormat="1" ht="204.75" x14ac:dyDescent="0.25">
      <c r="A58" s="6">
        <v>55</v>
      </c>
      <c r="B58" s="31">
        <v>152142</v>
      </c>
      <c r="C58" s="11">
        <v>1119</v>
      </c>
      <c r="D58" s="9" t="s">
        <v>1639</v>
      </c>
      <c r="E58" s="24" t="s">
        <v>1801</v>
      </c>
      <c r="F58" s="31" t="s">
        <v>1921</v>
      </c>
      <c r="G58" s="11" t="s">
        <v>1920</v>
      </c>
      <c r="H58" s="11" t="s">
        <v>1922</v>
      </c>
      <c r="I58" s="12" t="s">
        <v>1923</v>
      </c>
      <c r="J58" s="25">
        <v>44536</v>
      </c>
      <c r="K58" s="25">
        <v>45264</v>
      </c>
      <c r="L58" s="26">
        <f t="shared" si="0"/>
        <v>85.000001747144381</v>
      </c>
      <c r="M58" s="11">
        <v>6</v>
      </c>
      <c r="N58" s="11" t="s">
        <v>218</v>
      </c>
      <c r="O58" s="11" t="s">
        <v>1501</v>
      </c>
      <c r="P58" s="27" t="s">
        <v>174</v>
      </c>
      <c r="Q58" s="11" t="s">
        <v>34</v>
      </c>
      <c r="R58" s="2">
        <f t="shared" si="21"/>
        <v>340555.72</v>
      </c>
      <c r="S58" s="2">
        <v>340555.72</v>
      </c>
      <c r="T58" s="2">
        <v>0</v>
      </c>
      <c r="U58" s="1">
        <f t="shared" si="2"/>
        <v>48197.52</v>
      </c>
      <c r="V58" s="28">
        <v>48197.52</v>
      </c>
      <c r="W58" s="28">
        <v>0</v>
      </c>
      <c r="X58" s="1">
        <f t="shared" si="7"/>
        <v>11900.54</v>
      </c>
      <c r="Y58" s="2">
        <v>11900.54</v>
      </c>
      <c r="Z58" s="2">
        <v>0</v>
      </c>
      <c r="AA58" s="2">
        <v>0</v>
      </c>
      <c r="AB58" s="2">
        <v>0</v>
      </c>
      <c r="AC58" s="2">
        <v>0</v>
      </c>
      <c r="AD58" s="16">
        <f t="shared" si="6"/>
        <v>400653.77999999997</v>
      </c>
      <c r="AE58" s="2">
        <v>0</v>
      </c>
      <c r="AF58" s="2">
        <f t="shared" si="22"/>
        <v>400653.77999999997</v>
      </c>
      <c r="AG58" s="21" t="s">
        <v>1431</v>
      </c>
      <c r="AH58" s="29"/>
      <c r="AI58" s="30">
        <f>57576.24</f>
        <v>57576.24</v>
      </c>
      <c r="AJ58" s="30">
        <f>8163.53</f>
        <v>8163.53</v>
      </c>
    </row>
    <row r="59" spans="1:36" s="185" customFormat="1" ht="189" x14ac:dyDescent="0.25">
      <c r="A59" s="6">
        <v>56</v>
      </c>
      <c r="B59" s="31">
        <v>152089</v>
      </c>
      <c r="C59" s="11">
        <v>1131</v>
      </c>
      <c r="D59" s="9" t="s">
        <v>1639</v>
      </c>
      <c r="E59" s="24" t="s">
        <v>1801</v>
      </c>
      <c r="F59" s="31" t="s">
        <v>1946</v>
      </c>
      <c r="G59" s="11" t="s">
        <v>1501</v>
      </c>
      <c r="H59" s="11" t="s">
        <v>151</v>
      </c>
      <c r="I59" s="12" t="s">
        <v>1947</v>
      </c>
      <c r="J59" s="25">
        <v>44551</v>
      </c>
      <c r="K59" s="25">
        <v>45037</v>
      </c>
      <c r="L59" s="26">
        <f t="shared" si="0"/>
        <v>85.000000000000014</v>
      </c>
      <c r="M59" s="11">
        <v>6</v>
      </c>
      <c r="N59" s="11" t="s">
        <v>218</v>
      </c>
      <c r="O59" s="11" t="s">
        <v>1501</v>
      </c>
      <c r="P59" s="27" t="s">
        <v>174</v>
      </c>
      <c r="Q59" s="11" t="s">
        <v>34</v>
      </c>
      <c r="R59" s="2">
        <f t="shared" si="21"/>
        <v>287741.15000000002</v>
      </c>
      <c r="S59" s="2">
        <v>287741.15000000002</v>
      </c>
      <c r="T59" s="2">
        <v>0</v>
      </c>
      <c r="U59" s="1">
        <f t="shared" si="2"/>
        <v>44007.47</v>
      </c>
      <c r="V59" s="28">
        <v>44007.47</v>
      </c>
      <c r="W59" s="28">
        <v>0</v>
      </c>
      <c r="X59" s="1">
        <f t="shared" si="7"/>
        <v>6770.38</v>
      </c>
      <c r="Y59" s="2">
        <v>6770.38</v>
      </c>
      <c r="Z59" s="2">
        <v>0</v>
      </c>
      <c r="AA59" s="2">
        <v>0</v>
      </c>
      <c r="AB59" s="2">
        <v>0</v>
      </c>
      <c r="AC59" s="2">
        <v>0</v>
      </c>
      <c r="AD59" s="16">
        <f t="shared" si="6"/>
        <v>338519</v>
      </c>
      <c r="AE59" s="2">
        <v>0</v>
      </c>
      <c r="AF59" s="2">
        <f t="shared" si="22"/>
        <v>338519</v>
      </c>
      <c r="AG59" s="21" t="s">
        <v>1431</v>
      </c>
      <c r="AH59" s="29"/>
      <c r="AI59" s="30">
        <v>0</v>
      </c>
      <c r="AJ59" s="30">
        <v>0</v>
      </c>
    </row>
    <row r="60" spans="1:36" s="185" customFormat="1" ht="141.75" x14ac:dyDescent="0.25">
      <c r="A60" s="6">
        <v>57</v>
      </c>
      <c r="B60" s="31">
        <v>155019</v>
      </c>
      <c r="C60" s="11">
        <v>1193</v>
      </c>
      <c r="D60" s="9" t="s">
        <v>1638</v>
      </c>
      <c r="E60" s="24" t="s">
        <v>2012</v>
      </c>
      <c r="F60" s="31" t="s">
        <v>2115</v>
      </c>
      <c r="G60" s="11" t="s">
        <v>1920</v>
      </c>
      <c r="H60" s="11" t="s">
        <v>151</v>
      </c>
      <c r="I60" s="12" t="s">
        <v>2116</v>
      </c>
      <c r="J60" s="25">
        <v>44662</v>
      </c>
      <c r="K60" s="25">
        <v>45149</v>
      </c>
      <c r="L60" s="26">
        <f t="shared" si="0"/>
        <v>85.000000508510922</v>
      </c>
      <c r="M60" s="11">
        <v>6</v>
      </c>
      <c r="N60" s="11" t="s">
        <v>218</v>
      </c>
      <c r="O60" s="11" t="s">
        <v>1501</v>
      </c>
      <c r="P60" s="27" t="s">
        <v>174</v>
      </c>
      <c r="Q60" s="11" t="s">
        <v>34</v>
      </c>
      <c r="R60" s="2">
        <f t="shared" si="21"/>
        <v>2005856.6</v>
      </c>
      <c r="S60" s="2">
        <v>2005856.6</v>
      </c>
      <c r="T60" s="2">
        <v>0</v>
      </c>
      <c r="U60" s="1">
        <f t="shared" si="2"/>
        <v>306778.06</v>
      </c>
      <c r="V60" s="28">
        <v>306778.06</v>
      </c>
      <c r="W60" s="28">
        <v>0</v>
      </c>
      <c r="X60" s="1">
        <f t="shared" si="7"/>
        <v>47196.62</v>
      </c>
      <c r="Y60" s="2">
        <v>47196.62</v>
      </c>
      <c r="Z60" s="2">
        <v>0</v>
      </c>
      <c r="AA60" s="2">
        <v>0</v>
      </c>
      <c r="AB60" s="2">
        <v>0</v>
      </c>
      <c r="AC60" s="2">
        <v>0</v>
      </c>
      <c r="AD60" s="16">
        <f t="shared" si="6"/>
        <v>2359831.2800000003</v>
      </c>
      <c r="AE60" s="2">
        <v>0</v>
      </c>
      <c r="AF60" s="2">
        <f t="shared" si="22"/>
        <v>2359831.2800000003</v>
      </c>
      <c r="AG60" s="21" t="s">
        <v>1431</v>
      </c>
      <c r="AH60" s="29"/>
      <c r="AI60" s="30">
        <v>0</v>
      </c>
      <c r="AJ60" s="30">
        <v>0</v>
      </c>
    </row>
    <row r="61" spans="1:36" s="185" customFormat="1" ht="157.5" x14ac:dyDescent="0.25">
      <c r="A61" s="6">
        <v>58</v>
      </c>
      <c r="B61" s="31">
        <v>154519</v>
      </c>
      <c r="C61" s="11">
        <v>1231</v>
      </c>
      <c r="D61" s="9" t="s">
        <v>1638</v>
      </c>
      <c r="E61" s="24" t="s">
        <v>2012</v>
      </c>
      <c r="F61" s="31" t="s">
        <v>2279</v>
      </c>
      <c r="G61" s="11" t="s">
        <v>1501</v>
      </c>
      <c r="H61" s="11" t="s">
        <v>151</v>
      </c>
      <c r="I61" s="12" t="s">
        <v>2627</v>
      </c>
      <c r="J61" s="25">
        <v>44728</v>
      </c>
      <c r="K61" s="25">
        <v>45215</v>
      </c>
      <c r="L61" s="26">
        <f t="shared" si="0"/>
        <v>85.000000102463531</v>
      </c>
      <c r="M61" s="11">
        <v>6</v>
      </c>
      <c r="N61" s="11" t="s">
        <v>218</v>
      </c>
      <c r="O61" s="11" t="s">
        <v>1501</v>
      </c>
      <c r="P61" s="27" t="s">
        <v>174</v>
      </c>
      <c r="Q61" s="11" t="s">
        <v>34</v>
      </c>
      <c r="R61" s="2">
        <f t="shared" si="21"/>
        <v>1659126.8</v>
      </c>
      <c r="S61" s="2">
        <v>1659126.8</v>
      </c>
      <c r="T61" s="2">
        <v>0</v>
      </c>
      <c r="U61" s="1">
        <f t="shared" si="2"/>
        <v>253748.79</v>
      </c>
      <c r="V61" s="28">
        <v>253748.79</v>
      </c>
      <c r="W61" s="28">
        <v>0</v>
      </c>
      <c r="X61" s="1">
        <f t="shared" si="7"/>
        <v>39038.29</v>
      </c>
      <c r="Y61" s="2">
        <v>39038.29</v>
      </c>
      <c r="Z61" s="2">
        <v>0</v>
      </c>
      <c r="AA61" s="2">
        <v>0</v>
      </c>
      <c r="AB61" s="2">
        <v>0</v>
      </c>
      <c r="AC61" s="2">
        <v>0</v>
      </c>
      <c r="AD61" s="16">
        <f t="shared" si="6"/>
        <v>1951913.8800000001</v>
      </c>
      <c r="AE61" s="2">
        <v>0</v>
      </c>
      <c r="AF61" s="2">
        <f t="shared" si="22"/>
        <v>1951913.8800000001</v>
      </c>
      <c r="AG61" s="21" t="s">
        <v>1431</v>
      </c>
      <c r="AH61" s="29"/>
      <c r="AI61" s="30">
        <v>0</v>
      </c>
      <c r="AJ61" s="30">
        <v>0</v>
      </c>
    </row>
    <row r="62" spans="1:36" ht="291" customHeight="1" x14ac:dyDescent="0.25">
      <c r="A62" s="6">
        <v>59</v>
      </c>
      <c r="B62" s="31">
        <v>119593</v>
      </c>
      <c r="C62" s="11">
        <v>467</v>
      </c>
      <c r="D62" s="9" t="s">
        <v>1638</v>
      </c>
      <c r="E62" s="32" t="s">
        <v>457</v>
      </c>
      <c r="F62" s="11" t="s">
        <v>631</v>
      </c>
      <c r="G62" s="11" t="s">
        <v>632</v>
      </c>
      <c r="H62" s="11" t="s">
        <v>283</v>
      </c>
      <c r="I62" s="32" t="s">
        <v>2628</v>
      </c>
      <c r="J62" s="25">
        <v>43293</v>
      </c>
      <c r="K62" s="25">
        <v>43811</v>
      </c>
      <c r="L62" s="26">
        <f t="shared" si="0"/>
        <v>84.262029230668674</v>
      </c>
      <c r="M62" s="11">
        <v>1</v>
      </c>
      <c r="N62" s="11" t="s">
        <v>633</v>
      </c>
      <c r="O62" s="11" t="s">
        <v>633</v>
      </c>
      <c r="P62" s="11" t="s">
        <v>174</v>
      </c>
      <c r="Q62" s="11" t="s">
        <v>34</v>
      </c>
      <c r="R62" s="1">
        <f t="shared" ref="R62" si="24">S62+T62</f>
        <v>349239.24</v>
      </c>
      <c r="S62" s="30">
        <v>349239.24</v>
      </c>
      <c r="T62" s="2">
        <v>0</v>
      </c>
      <c r="U62" s="1">
        <f t="shared" si="2"/>
        <v>56939.5</v>
      </c>
      <c r="V62" s="42">
        <v>56939.5</v>
      </c>
      <c r="W62" s="28">
        <v>0</v>
      </c>
      <c r="X62" s="1">
        <f t="shared" si="7"/>
        <v>4690.93</v>
      </c>
      <c r="Y62" s="30">
        <v>4690.93</v>
      </c>
      <c r="Z62" s="30">
        <v>0</v>
      </c>
      <c r="AA62" s="2">
        <f t="shared" ref="AA62" si="25">AB62+AC62</f>
        <v>3598.44</v>
      </c>
      <c r="AB62" s="2">
        <v>3598.44</v>
      </c>
      <c r="AC62" s="2">
        <v>0</v>
      </c>
      <c r="AD62" s="16">
        <f t="shared" si="6"/>
        <v>414468.11</v>
      </c>
      <c r="AE62" s="35"/>
      <c r="AF62" s="2">
        <f t="shared" ref="AF62" si="26">AD62+AE62</f>
        <v>414468.11</v>
      </c>
      <c r="AG62" s="21" t="s">
        <v>857</v>
      </c>
      <c r="AH62" s="35"/>
      <c r="AI62" s="30">
        <v>304992.26</v>
      </c>
      <c r="AJ62" s="30">
        <v>49408.55</v>
      </c>
    </row>
    <row r="63" spans="1:36" ht="215.25" customHeight="1" x14ac:dyDescent="0.25">
      <c r="A63" s="6">
        <v>60</v>
      </c>
      <c r="B63" s="31">
        <v>118690</v>
      </c>
      <c r="C63" s="11">
        <v>433</v>
      </c>
      <c r="D63" s="32" t="s">
        <v>1639</v>
      </c>
      <c r="E63" s="32" t="s">
        <v>507</v>
      </c>
      <c r="F63" s="11" t="s">
        <v>776</v>
      </c>
      <c r="G63" s="11" t="s">
        <v>632</v>
      </c>
      <c r="H63" s="11" t="s">
        <v>782</v>
      </c>
      <c r="I63" s="32" t="s">
        <v>2629</v>
      </c>
      <c r="J63" s="25">
        <v>43333</v>
      </c>
      <c r="K63" s="25">
        <v>43790</v>
      </c>
      <c r="L63" s="26">
        <f t="shared" si="0"/>
        <v>84.169367233766351</v>
      </c>
      <c r="M63" s="11">
        <v>1</v>
      </c>
      <c r="N63" s="11" t="s">
        <v>633</v>
      </c>
      <c r="O63" s="11" t="s">
        <v>633</v>
      </c>
      <c r="P63" s="11" t="s">
        <v>174</v>
      </c>
      <c r="Q63" s="11" t="s">
        <v>777</v>
      </c>
      <c r="R63" s="2">
        <f t="shared" si="21"/>
        <v>242198.44</v>
      </c>
      <c r="S63" s="30">
        <v>242198.44</v>
      </c>
      <c r="T63" s="37">
        <v>0</v>
      </c>
      <c r="U63" s="1">
        <f t="shared" si="2"/>
        <v>39797.81</v>
      </c>
      <c r="V63" s="42">
        <v>39797.81</v>
      </c>
      <c r="W63" s="42">
        <v>0</v>
      </c>
      <c r="X63" s="1">
        <f t="shared" si="7"/>
        <v>5755.04</v>
      </c>
      <c r="Y63" s="30">
        <v>5755.04</v>
      </c>
      <c r="Z63" s="30">
        <v>0</v>
      </c>
      <c r="AA63" s="2">
        <v>0</v>
      </c>
      <c r="AB63" s="37">
        <v>0</v>
      </c>
      <c r="AC63" s="37">
        <v>0</v>
      </c>
      <c r="AD63" s="16">
        <f t="shared" si="6"/>
        <v>287751.28999999998</v>
      </c>
      <c r="AE63" s="35"/>
      <c r="AF63" s="2">
        <f t="shared" ref="AF63" si="27">AD63+AE63</f>
        <v>287751.28999999998</v>
      </c>
      <c r="AG63" s="21" t="s">
        <v>857</v>
      </c>
      <c r="AH63" s="35"/>
      <c r="AI63" s="30">
        <v>204673.28999999998</v>
      </c>
      <c r="AJ63" s="30">
        <v>33582.770000000004</v>
      </c>
    </row>
    <row r="64" spans="1:36" ht="141.75" x14ac:dyDescent="0.25">
      <c r="A64" s="6">
        <v>61</v>
      </c>
      <c r="B64" s="31">
        <v>126412</v>
      </c>
      <c r="C64" s="11">
        <v>553</v>
      </c>
      <c r="D64" s="9" t="s">
        <v>1638</v>
      </c>
      <c r="E64" s="32" t="s">
        <v>899</v>
      </c>
      <c r="F64" s="11" t="s">
        <v>1036</v>
      </c>
      <c r="G64" s="11" t="s">
        <v>1037</v>
      </c>
      <c r="H64" s="8" t="s">
        <v>151</v>
      </c>
      <c r="I64" s="32" t="s">
        <v>2630</v>
      </c>
      <c r="J64" s="25">
        <v>43564</v>
      </c>
      <c r="K64" s="25">
        <v>44386</v>
      </c>
      <c r="L64" s="26">
        <f t="shared" si="0"/>
        <v>85.000000068999867</v>
      </c>
      <c r="M64" s="40">
        <v>1</v>
      </c>
      <c r="N64" s="11" t="s">
        <v>633</v>
      </c>
      <c r="O64" s="11" t="s">
        <v>633</v>
      </c>
      <c r="P64" s="11" t="s">
        <v>174</v>
      </c>
      <c r="Q64" s="11" t="s">
        <v>34</v>
      </c>
      <c r="R64" s="2">
        <f t="shared" ref="R64:R69" si="28">S64+T64</f>
        <v>2463772.67</v>
      </c>
      <c r="S64" s="30">
        <v>2463772.67</v>
      </c>
      <c r="T64" s="37">
        <v>0</v>
      </c>
      <c r="U64" s="1">
        <f t="shared" si="2"/>
        <v>376812.29</v>
      </c>
      <c r="V64" s="42">
        <v>376812.29</v>
      </c>
      <c r="W64" s="42">
        <v>0</v>
      </c>
      <c r="X64" s="1">
        <f t="shared" si="7"/>
        <v>57971.12</v>
      </c>
      <c r="Y64" s="30">
        <v>57971.12</v>
      </c>
      <c r="Z64" s="30">
        <v>0</v>
      </c>
      <c r="AA64" s="2">
        <v>0</v>
      </c>
      <c r="AB64" s="37">
        <v>0</v>
      </c>
      <c r="AC64" s="37">
        <v>0</v>
      </c>
      <c r="AD64" s="16">
        <f t="shared" si="6"/>
        <v>2898556.08</v>
      </c>
      <c r="AE64" s="35"/>
      <c r="AF64" s="2">
        <f t="shared" ref="AF64:AF69" si="29">AD64+AE64</f>
        <v>2898556.08</v>
      </c>
      <c r="AG64" s="21" t="s">
        <v>857</v>
      </c>
      <c r="AH64" s="38" t="s">
        <v>1751</v>
      </c>
      <c r="AI64" s="30">
        <f>154953.36+31847.8+249699.67+1140494.35+32440.25+355467.67+474477.07</f>
        <v>2439380.17</v>
      </c>
      <c r="AJ64" s="30">
        <f>23698.73+4870.84+38189.36+174428.55+4961.45+54365.65+72567.08</f>
        <v>373081.66000000003</v>
      </c>
    </row>
    <row r="65" spans="1:37" ht="239.25" customHeight="1" x14ac:dyDescent="0.25">
      <c r="A65" s="6">
        <v>62</v>
      </c>
      <c r="B65" s="31">
        <v>128790</v>
      </c>
      <c r="C65" s="31">
        <v>644</v>
      </c>
      <c r="D65" s="9" t="s">
        <v>1638</v>
      </c>
      <c r="E65" s="24" t="s">
        <v>1071</v>
      </c>
      <c r="F65" s="67" t="s">
        <v>1103</v>
      </c>
      <c r="G65" s="11" t="s">
        <v>632</v>
      </c>
      <c r="H65" s="8" t="s">
        <v>151</v>
      </c>
      <c r="I65" s="12" t="s">
        <v>1105</v>
      </c>
      <c r="J65" s="25">
        <v>43629</v>
      </c>
      <c r="K65" s="25">
        <v>44755</v>
      </c>
      <c r="L65" s="26">
        <f t="shared" si="0"/>
        <v>85.000000118502641</v>
      </c>
      <c r="M65" s="27">
        <v>1</v>
      </c>
      <c r="N65" s="11" t="s">
        <v>633</v>
      </c>
      <c r="O65" s="11" t="s">
        <v>633</v>
      </c>
      <c r="P65" s="15" t="s">
        <v>174</v>
      </c>
      <c r="Q65" s="11" t="s">
        <v>34</v>
      </c>
      <c r="R65" s="2">
        <f t="shared" si="28"/>
        <v>2510492.42</v>
      </c>
      <c r="S65" s="30">
        <v>2510492.42</v>
      </c>
      <c r="T65" s="37">
        <v>0</v>
      </c>
      <c r="U65" s="1">
        <f t="shared" si="2"/>
        <v>383957.66</v>
      </c>
      <c r="V65" s="42">
        <v>383957.66</v>
      </c>
      <c r="W65" s="42">
        <v>0</v>
      </c>
      <c r="X65" s="1">
        <f t="shared" si="7"/>
        <v>59070.41</v>
      </c>
      <c r="Y65" s="30">
        <v>59070.41</v>
      </c>
      <c r="Z65" s="30">
        <v>0</v>
      </c>
      <c r="AA65" s="2">
        <v>0</v>
      </c>
      <c r="AB65" s="37">
        <v>0</v>
      </c>
      <c r="AC65" s="37">
        <v>0</v>
      </c>
      <c r="AD65" s="16">
        <f t="shared" si="6"/>
        <v>2953520.49</v>
      </c>
      <c r="AE65" s="37">
        <v>0</v>
      </c>
      <c r="AF65" s="2">
        <f t="shared" si="29"/>
        <v>2953520.49</v>
      </c>
      <c r="AG65" s="38" t="s">
        <v>857</v>
      </c>
      <c r="AH65" s="29" t="s">
        <v>1807</v>
      </c>
      <c r="AI65" s="30">
        <f>25513.52+216514.86-3202.29-3349.26-3120.39+21498.34+295352-31779.61+1211235.46</f>
        <v>1728662.63</v>
      </c>
      <c r="AJ65" s="30">
        <f>3202.29+3349.26+3120.39+29152.92+31779.61+185247.77</f>
        <v>255852.24</v>
      </c>
    </row>
    <row r="66" spans="1:37" ht="239.25" customHeight="1" x14ac:dyDescent="0.25">
      <c r="A66" s="6">
        <v>63</v>
      </c>
      <c r="B66" s="31">
        <v>136104</v>
      </c>
      <c r="C66" s="31">
        <v>848</v>
      </c>
      <c r="D66" s="9" t="s">
        <v>1638</v>
      </c>
      <c r="E66" s="24" t="s">
        <v>1441</v>
      </c>
      <c r="F66" s="67" t="s">
        <v>1537</v>
      </c>
      <c r="G66" s="11" t="s">
        <v>1538</v>
      </c>
      <c r="H66" s="11" t="s">
        <v>1539</v>
      </c>
      <c r="I66" s="12" t="s">
        <v>1540</v>
      </c>
      <c r="J66" s="25">
        <v>43998</v>
      </c>
      <c r="K66" s="25">
        <v>45215</v>
      </c>
      <c r="L66" s="26">
        <f t="shared" si="0"/>
        <v>84.490458053736376</v>
      </c>
      <c r="M66" s="27">
        <v>1</v>
      </c>
      <c r="N66" s="11" t="s">
        <v>633</v>
      </c>
      <c r="O66" s="11" t="s">
        <v>1541</v>
      </c>
      <c r="P66" s="15" t="s">
        <v>174</v>
      </c>
      <c r="Q66" s="11" t="s">
        <v>34</v>
      </c>
      <c r="R66" s="2">
        <f t="shared" si="28"/>
        <v>3017836.94</v>
      </c>
      <c r="S66" s="30">
        <v>3017836.94</v>
      </c>
      <c r="T66" s="37">
        <v>0</v>
      </c>
      <c r="U66" s="1">
        <f t="shared" si="2"/>
        <v>482534.9</v>
      </c>
      <c r="V66" s="42">
        <v>482534.9</v>
      </c>
      <c r="W66" s="42">
        <v>0</v>
      </c>
      <c r="X66" s="1">
        <f t="shared" si="7"/>
        <v>50024.56</v>
      </c>
      <c r="Y66" s="30">
        <v>50024.56</v>
      </c>
      <c r="Z66" s="30">
        <v>0</v>
      </c>
      <c r="AA66" s="2">
        <f>AB66+AC66</f>
        <v>21411.599999999999</v>
      </c>
      <c r="AB66" s="37">
        <v>21411.599999999999</v>
      </c>
      <c r="AC66" s="37">
        <v>0</v>
      </c>
      <c r="AD66" s="16">
        <f t="shared" si="6"/>
        <v>3571808</v>
      </c>
      <c r="AE66" s="37">
        <v>0</v>
      </c>
      <c r="AF66" s="2">
        <f t="shared" si="29"/>
        <v>3571808</v>
      </c>
      <c r="AG66" s="38" t="s">
        <v>486</v>
      </c>
      <c r="AH66" s="29" t="s">
        <v>2482</v>
      </c>
      <c r="AI66" s="30">
        <f>107058-9939.36+357180.79+4714.77+107058+84998.48+107058-2374.89+102164.15+121027.4</f>
        <v>978945.34</v>
      </c>
      <c r="AJ66" s="30">
        <f>17138.58+19724.61+33892.32+18473.49+4893.85+21357.78</f>
        <v>115480.63000000002</v>
      </c>
    </row>
    <row r="67" spans="1:37" ht="187.5" customHeight="1" x14ac:dyDescent="0.25">
      <c r="A67" s="6">
        <v>64</v>
      </c>
      <c r="B67" s="31">
        <v>135796</v>
      </c>
      <c r="C67" s="31">
        <v>830</v>
      </c>
      <c r="D67" s="9" t="s">
        <v>1638</v>
      </c>
      <c r="E67" s="24" t="s">
        <v>1441</v>
      </c>
      <c r="F67" s="67" t="s">
        <v>1547</v>
      </c>
      <c r="G67" s="11" t="s">
        <v>632</v>
      </c>
      <c r="H67" s="8" t="s">
        <v>151</v>
      </c>
      <c r="I67" s="12" t="s">
        <v>1548</v>
      </c>
      <c r="J67" s="25">
        <v>44001</v>
      </c>
      <c r="K67" s="25">
        <v>45279</v>
      </c>
      <c r="L67" s="26">
        <f t="shared" si="0"/>
        <v>85.000000085834074</v>
      </c>
      <c r="M67" s="27">
        <v>1</v>
      </c>
      <c r="N67" s="11" t="s">
        <v>633</v>
      </c>
      <c r="O67" s="11" t="s">
        <v>1815</v>
      </c>
      <c r="P67" s="15" t="s">
        <v>174</v>
      </c>
      <c r="Q67" s="11" t="s">
        <v>34</v>
      </c>
      <c r="R67" s="2">
        <f t="shared" si="28"/>
        <v>2475707.2400000002</v>
      </c>
      <c r="S67" s="30">
        <v>2475707.2400000002</v>
      </c>
      <c r="T67" s="37">
        <v>0</v>
      </c>
      <c r="U67" s="1">
        <f t="shared" si="2"/>
        <v>378637.57</v>
      </c>
      <c r="V67" s="42">
        <v>378637.57</v>
      </c>
      <c r="W67" s="42">
        <v>0</v>
      </c>
      <c r="X67" s="1">
        <f t="shared" si="7"/>
        <v>58251.94</v>
      </c>
      <c r="Y67" s="30">
        <v>58251.94</v>
      </c>
      <c r="Z67" s="30">
        <v>0</v>
      </c>
      <c r="AA67" s="2">
        <f>AB67+AC67</f>
        <v>0</v>
      </c>
      <c r="AB67" s="37">
        <v>0</v>
      </c>
      <c r="AC67" s="37">
        <v>0</v>
      </c>
      <c r="AD67" s="16">
        <f t="shared" si="6"/>
        <v>2912596.75</v>
      </c>
      <c r="AE67" s="37">
        <v>0</v>
      </c>
      <c r="AF67" s="2">
        <f t="shared" si="29"/>
        <v>2912596.75</v>
      </c>
      <c r="AG67" s="38" t="s">
        <v>486</v>
      </c>
      <c r="AH67" s="29" t="s">
        <v>3272</v>
      </c>
      <c r="AI67" s="30">
        <f>30000-3959.41+149847.86+195183.98</f>
        <v>371072.43</v>
      </c>
      <c r="AJ67" s="30">
        <f>3959.41+52792.84</f>
        <v>56752.25</v>
      </c>
    </row>
    <row r="68" spans="1:37" ht="157.5" x14ac:dyDescent="0.25">
      <c r="A68" s="6">
        <v>65</v>
      </c>
      <c r="B68" s="31">
        <v>151928</v>
      </c>
      <c r="C68" s="31">
        <v>1106</v>
      </c>
      <c r="D68" s="9" t="s">
        <v>1639</v>
      </c>
      <c r="E68" s="24" t="s">
        <v>1801</v>
      </c>
      <c r="F68" s="67" t="s">
        <v>1813</v>
      </c>
      <c r="G68" s="11" t="s">
        <v>1814</v>
      </c>
      <c r="H68" s="8" t="s">
        <v>151</v>
      </c>
      <c r="I68" s="12" t="s">
        <v>2631</v>
      </c>
      <c r="J68" s="25">
        <v>44474</v>
      </c>
      <c r="K68" s="25">
        <v>44900</v>
      </c>
      <c r="L68" s="26">
        <f t="shared" si="0"/>
        <v>85.000001600945197</v>
      </c>
      <c r="M68" s="27">
        <v>1</v>
      </c>
      <c r="N68" s="11" t="s">
        <v>633</v>
      </c>
      <c r="O68" s="11" t="s">
        <v>1815</v>
      </c>
      <c r="P68" s="15" t="s">
        <v>174</v>
      </c>
      <c r="Q68" s="11" t="s">
        <v>34</v>
      </c>
      <c r="R68" s="2">
        <f t="shared" si="28"/>
        <v>265468.18</v>
      </c>
      <c r="S68" s="30">
        <v>265468.18</v>
      </c>
      <c r="T68" s="37">
        <v>0</v>
      </c>
      <c r="U68" s="1">
        <f t="shared" si="2"/>
        <v>40601.01</v>
      </c>
      <c r="V68" s="42">
        <v>40601.01</v>
      </c>
      <c r="W68" s="42">
        <v>0</v>
      </c>
      <c r="X68" s="1">
        <f t="shared" si="7"/>
        <v>6246.31</v>
      </c>
      <c r="Y68" s="30">
        <v>6246.31</v>
      </c>
      <c r="Z68" s="30">
        <v>0</v>
      </c>
      <c r="AA68" s="2">
        <f>AB68+AC68</f>
        <v>0</v>
      </c>
      <c r="AB68" s="37">
        <v>0</v>
      </c>
      <c r="AC68" s="37">
        <v>0</v>
      </c>
      <c r="AD68" s="16">
        <f t="shared" si="6"/>
        <v>312315.5</v>
      </c>
      <c r="AE68" s="37">
        <v>0</v>
      </c>
      <c r="AF68" s="2">
        <f t="shared" si="29"/>
        <v>312315.5</v>
      </c>
      <c r="AG68" s="38" t="s">
        <v>486</v>
      </c>
      <c r="AH68" s="29"/>
      <c r="AI68" s="30">
        <f>26683.37+167403.25</f>
        <v>194086.62</v>
      </c>
      <c r="AJ68" s="30">
        <f>4080.98+25602.85</f>
        <v>29683.829999999998</v>
      </c>
    </row>
    <row r="69" spans="1:37" ht="189" x14ac:dyDescent="0.25">
      <c r="A69" s="6">
        <v>66</v>
      </c>
      <c r="B69" s="31">
        <v>152231</v>
      </c>
      <c r="C69" s="31">
        <v>1147</v>
      </c>
      <c r="D69" s="9" t="s">
        <v>1639</v>
      </c>
      <c r="E69" s="24" t="s">
        <v>1801</v>
      </c>
      <c r="F69" s="67" t="s">
        <v>1985</v>
      </c>
      <c r="G69" s="11" t="s">
        <v>1538</v>
      </c>
      <c r="H69" s="8" t="s">
        <v>151</v>
      </c>
      <c r="I69" s="12" t="s">
        <v>1986</v>
      </c>
      <c r="J69" s="25">
        <v>44603</v>
      </c>
      <c r="K69" s="25">
        <v>44845</v>
      </c>
      <c r="L69" s="26">
        <f t="shared" si="0"/>
        <v>85.000000881839782</v>
      </c>
      <c r="M69" s="27">
        <v>1</v>
      </c>
      <c r="N69" s="11" t="s">
        <v>633</v>
      </c>
      <c r="O69" s="11" t="s">
        <v>1815</v>
      </c>
      <c r="P69" s="15" t="s">
        <v>174</v>
      </c>
      <c r="Q69" s="11" t="s">
        <v>34</v>
      </c>
      <c r="R69" s="2">
        <f t="shared" si="28"/>
        <v>337362.87</v>
      </c>
      <c r="S69" s="30">
        <v>337362.87</v>
      </c>
      <c r="T69" s="37">
        <v>0</v>
      </c>
      <c r="U69" s="1">
        <f t="shared" si="2"/>
        <v>51596.68</v>
      </c>
      <c r="V69" s="42">
        <v>51596.68</v>
      </c>
      <c r="W69" s="42">
        <v>0</v>
      </c>
      <c r="X69" s="1">
        <f t="shared" si="7"/>
        <v>7937.94</v>
      </c>
      <c r="Y69" s="30">
        <v>7937.94</v>
      </c>
      <c r="Z69" s="30">
        <v>0</v>
      </c>
      <c r="AA69" s="2">
        <f>AB69+AC69</f>
        <v>0</v>
      </c>
      <c r="AB69" s="37">
        <v>0</v>
      </c>
      <c r="AC69" s="37">
        <v>0</v>
      </c>
      <c r="AD69" s="16">
        <f t="shared" ref="AD69:AD132" si="30">R69+U69+X69+AA69</f>
        <v>396897.49</v>
      </c>
      <c r="AE69" s="37">
        <v>0</v>
      </c>
      <c r="AF69" s="2">
        <f t="shared" si="29"/>
        <v>396897.49</v>
      </c>
      <c r="AG69" s="38" t="s">
        <v>857</v>
      </c>
      <c r="AH69" s="29"/>
      <c r="AI69" s="30">
        <f>39000+59311.09+133809.55</f>
        <v>232120.63999999998</v>
      </c>
      <c r="AJ69" s="30">
        <f>9071.11+26429.69</f>
        <v>35500.800000000003</v>
      </c>
    </row>
    <row r="70" spans="1:37" ht="173.25" x14ac:dyDescent="0.25">
      <c r="A70" s="6">
        <v>67</v>
      </c>
      <c r="B70" s="11">
        <v>120555</v>
      </c>
      <c r="C70" s="11">
        <v>93</v>
      </c>
      <c r="D70" s="9" t="s">
        <v>1638</v>
      </c>
      <c r="E70" s="24" t="s">
        <v>277</v>
      </c>
      <c r="F70" s="27" t="s">
        <v>342</v>
      </c>
      <c r="G70" s="11" t="s">
        <v>341</v>
      </c>
      <c r="H70" s="27" t="s">
        <v>343</v>
      </c>
      <c r="I70" s="12" t="s">
        <v>344</v>
      </c>
      <c r="J70" s="25">
        <v>43208</v>
      </c>
      <c r="K70" s="25">
        <v>43817</v>
      </c>
      <c r="L70" s="26">
        <f t="shared" si="0"/>
        <v>84.163181877958579</v>
      </c>
      <c r="M70" s="11">
        <v>2</v>
      </c>
      <c r="N70" s="11" t="s">
        <v>630</v>
      </c>
      <c r="O70" s="11" t="s">
        <v>630</v>
      </c>
      <c r="P70" s="27" t="s">
        <v>174</v>
      </c>
      <c r="Q70" s="11" t="s">
        <v>34</v>
      </c>
      <c r="R70" s="1">
        <f t="shared" ref="R70:R75" si="31">S70+T70</f>
        <v>356789.4</v>
      </c>
      <c r="S70" s="2">
        <v>356789.4</v>
      </c>
      <c r="T70" s="2">
        <v>0</v>
      </c>
      <c r="U70" s="1">
        <f t="shared" si="2"/>
        <v>58657.85</v>
      </c>
      <c r="V70" s="28">
        <v>58657.85</v>
      </c>
      <c r="W70" s="28">
        <v>0</v>
      </c>
      <c r="X70" s="1">
        <f t="shared" si="7"/>
        <v>4304.97</v>
      </c>
      <c r="Y70" s="2">
        <v>4304.97</v>
      </c>
      <c r="Z70" s="2">
        <v>0</v>
      </c>
      <c r="AA70" s="2">
        <f t="shared" ref="AA70:AA72" si="32">AB70+AC70</f>
        <v>4173.53</v>
      </c>
      <c r="AB70" s="2">
        <v>4173.53</v>
      </c>
      <c r="AC70" s="2">
        <v>0</v>
      </c>
      <c r="AD70" s="16">
        <f t="shared" si="30"/>
        <v>423925.75</v>
      </c>
      <c r="AE70" s="2">
        <v>0</v>
      </c>
      <c r="AF70" s="2">
        <f t="shared" ref="AF70:AF72" si="33">AD70+AE70</f>
        <v>423925.75</v>
      </c>
      <c r="AG70" s="38" t="s">
        <v>857</v>
      </c>
      <c r="AH70" s="38" t="s">
        <v>1345</v>
      </c>
      <c r="AI70" s="30">
        <v>331987.39999999997</v>
      </c>
      <c r="AJ70" s="30">
        <v>54793.37</v>
      </c>
    </row>
    <row r="71" spans="1:37" ht="141.75" x14ac:dyDescent="0.25">
      <c r="A71" s="6">
        <v>68</v>
      </c>
      <c r="B71" s="11">
        <v>119189</v>
      </c>
      <c r="C71" s="11">
        <v>466</v>
      </c>
      <c r="D71" s="9" t="s">
        <v>1638</v>
      </c>
      <c r="E71" s="11" t="s">
        <v>457</v>
      </c>
      <c r="F71" s="11" t="s">
        <v>563</v>
      </c>
      <c r="G71" s="11" t="s">
        <v>648</v>
      </c>
      <c r="H71" s="8" t="s">
        <v>151</v>
      </c>
      <c r="I71" s="12" t="s">
        <v>647</v>
      </c>
      <c r="J71" s="25">
        <v>43278</v>
      </c>
      <c r="K71" s="25">
        <v>43765</v>
      </c>
      <c r="L71" s="26">
        <f t="shared" si="0"/>
        <v>85.000000991333039</v>
      </c>
      <c r="M71" s="11">
        <v>2</v>
      </c>
      <c r="N71" s="11" t="s">
        <v>630</v>
      </c>
      <c r="O71" s="11" t="s">
        <v>630</v>
      </c>
      <c r="P71" s="27" t="s">
        <v>174</v>
      </c>
      <c r="Q71" s="11" t="s">
        <v>34</v>
      </c>
      <c r="R71" s="1">
        <f t="shared" si="31"/>
        <v>514458.8</v>
      </c>
      <c r="S71" s="2">
        <v>514458.8</v>
      </c>
      <c r="T71" s="2">
        <v>0</v>
      </c>
      <c r="U71" s="1">
        <f t="shared" si="2"/>
        <v>78681.929999999978</v>
      </c>
      <c r="V71" s="28">
        <v>78681.929999999978</v>
      </c>
      <c r="W71" s="28">
        <v>0</v>
      </c>
      <c r="X71" s="1">
        <f t="shared" si="7"/>
        <v>12104.91</v>
      </c>
      <c r="Y71" s="2">
        <v>12104.91</v>
      </c>
      <c r="Z71" s="2">
        <v>0</v>
      </c>
      <c r="AA71" s="2">
        <f t="shared" si="32"/>
        <v>0</v>
      </c>
      <c r="AB71" s="2">
        <v>0</v>
      </c>
      <c r="AC71" s="2">
        <v>0</v>
      </c>
      <c r="AD71" s="16">
        <f t="shared" si="30"/>
        <v>605245.64</v>
      </c>
      <c r="AE71" s="2"/>
      <c r="AF71" s="2">
        <f t="shared" si="33"/>
        <v>605245.64</v>
      </c>
      <c r="AG71" s="21" t="s">
        <v>857</v>
      </c>
      <c r="AH71" s="29" t="s">
        <v>151</v>
      </c>
      <c r="AI71" s="30">
        <v>360382.24999999994</v>
      </c>
      <c r="AJ71" s="30">
        <v>55117.29</v>
      </c>
    </row>
    <row r="72" spans="1:37" ht="151.5" customHeight="1" x14ac:dyDescent="0.25">
      <c r="A72" s="6">
        <v>69</v>
      </c>
      <c r="B72" s="11">
        <v>125782</v>
      </c>
      <c r="C72" s="11">
        <v>520</v>
      </c>
      <c r="D72" s="9" t="s">
        <v>1638</v>
      </c>
      <c r="E72" s="32" t="s">
        <v>899</v>
      </c>
      <c r="F72" s="11" t="s">
        <v>926</v>
      </c>
      <c r="G72" s="11" t="s">
        <v>648</v>
      </c>
      <c r="H72" s="8" t="s">
        <v>151</v>
      </c>
      <c r="I72" s="12" t="s">
        <v>927</v>
      </c>
      <c r="J72" s="25">
        <v>43445</v>
      </c>
      <c r="K72" s="25">
        <v>44572</v>
      </c>
      <c r="L72" s="26">
        <f t="shared" si="0"/>
        <v>84.999999737203865</v>
      </c>
      <c r="M72" s="11">
        <v>2</v>
      </c>
      <c r="N72" s="11" t="s">
        <v>630</v>
      </c>
      <c r="O72" s="11" t="s">
        <v>630</v>
      </c>
      <c r="P72" s="27" t="s">
        <v>174</v>
      </c>
      <c r="Q72" s="11" t="s">
        <v>34</v>
      </c>
      <c r="R72" s="1">
        <f t="shared" si="31"/>
        <v>1132056.27</v>
      </c>
      <c r="S72" s="2">
        <v>1132056.27</v>
      </c>
      <c r="T72" s="2">
        <v>0</v>
      </c>
      <c r="U72" s="1">
        <f t="shared" si="2"/>
        <v>173138.02</v>
      </c>
      <c r="V72" s="28">
        <v>173138.02</v>
      </c>
      <c r="W72" s="28">
        <v>0</v>
      </c>
      <c r="X72" s="1">
        <f t="shared" si="7"/>
        <v>26636.62</v>
      </c>
      <c r="Y72" s="2">
        <v>26636.62</v>
      </c>
      <c r="Z72" s="30">
        <v>0</v>
      </c>
      <c r="AA72" s="2">
        <f t="shared" si="32"/>
        <v>0</v>
      </c>
      <c r="AB72" s="2">
        <v>0</v>
      </c>
      <c r="AC72" s="2">
        <v>0</v>
      </c>
      <c r="AD72" s="16">
        <f t="shared" si="30"/>
        <v>1331830.9100000001</v>
      </c>
      <c r="AE72" s="35"/>
      <c r="AF72" s="2">
        <f t="shared" si="33"/>
        <v>1331830.9100000001</v>
      </c>
      <c r="AG72" s="38" t="s">
        <v>857</v>
      </c>
      <c r="AH72" s="38" t="s">
        <v>1793</v>
      </c>
      <c r="AI72" s="30">
        <f>239963.16+228953.11+164151.67</f>
        <v>633067.94000000006</v>
      </c>
      <c r="AJ72" s="30">
        <f>36700.24+35016.36+25105.55</f>
        <v>96822.150000000009</v>
      </c>
    </row>
    <row r="73" spans="1:37" ht="151.5" customHeight="1" x14ac:dyDescent="0.25">
      <c r="A73" s="6">
        <v>70</v>
      </c>
      <c r="B73" s="11">
        <v>129167</v>
      </c>
      <c r="C73" s="11">
        <v>662</v>
      </c>
      <c r="D73" s="9" t="s">
        <v>1638</v>
      </c>
      <c r="E73" s="68" t="s">
        <v>1071</v>
      </c>
      <c r="F73" s="11" t="s">
        <v>1166</v>
      </c>
      <c r="G73" s="11" t="s">
        <v>341</v>
      </c>
      <c r="H73" s="8" t="s">
        <v>151</v>
      </c>
      <c r="I73" s="12" t="s">
        <v>1167</v>
      </c>
      <c r="J73" s="25">
        <v>43662</v>
      </c>
      <c r="K73" s="25">
        <v>45032</v>
      </c>
      <c r="L73" s="26">
        <f t="shared" si="0"/>
        <v>85.000000251461756</v>
      </c>
      <c r="M73" s="11">
        <v>2</v>
      </c>
      <c r="N73" s="11" t="s">
        <v>630</v>
      </c>
      <c r="O73" s="11" t="s">
        <v>630</v>
      </c>
      <c r="P73" s="27" t="s">
        <v>174</v>
      </c>
      <c r="Q73" s="11" t="s">
        <v>34</v>
      </c>
      <c r="R73" s="1">
        <f t="shared" si="31"/>
        <v>3211223.96</v>
      </c>
      <c r="S73" s="1">
        <v>3211223.96</v>
      </c>
      <c r="T73" s="2">
        <v>0</v>
      </c>
      <c r="U73" s="1">
        <f t="shared" si="2"/>
        <v>491128.16</v>
      </c>
      <c r="V73" s="28">
        <v>491128.16</v>
      </c>
      <c r="W73" s="28">
        <v>0</v>
      </c>
      <c r="X73" s="1">
        <f t="shared" si="7"/>
        <v>75558.41</v>
      </c>
      <c r="Y73" s="2">
        <v>75558.41</v>
      </c>
      <c r="Z73" s="30">
        <v>0</v>
      </c>
      <c r="AA73" s="2">
        <v>0</v>
      </c>
      <c r="AB73" s="2">
        <v>0</v>
      </c>
      <c r="AC73" s="2">
        <v>0</v>
      </c>
      <c r="AD73" s="16">
        <f t="shared" si="30"/>
        <v>3777910.5300000003</v>
      </c>
      <c r="AE73" s="35">
        <v>0</v>
      </c>
      <c r="AF73" s="2">
        <f>AD73+AE73</f>
        <v>3777910.5300000003</v>
      </c>
      <c r="AG73" s="38" t="s">
        <v>486</v>
      </c>
      <c r="AH73" s="38" t="s">
        <v>3308</v>
      </c>
      <c r="AI73" s="30">
        <f>7795.35+11297.44+29831.01+34402.13+65919.46+3787.6+4691.15+75251.01+163937.9</f>
        <v>396913.05000000005</v>
      </c>
      <c r="AJ73" s="30">
        <f>1192.23+1727.85+4562.37+5261.5+10081.79+579.28+717.47+11508.97+25072.85</f>
        <v>60704.31</v>
      </c>
    </row>
    <row r="74" spans="1:37" ht="151.5" customHeight="1" x14ac:dyDescent="0.25">
      <c r="A74" s="6">
        <v>71</v>
      </c>
      <c r="B74" s="11">
        <v>135233</v>
      </c>
      <c r="C74" s="11">
        <v>825</v>
      </c>
      <c r="D74" s="9" t="s">
        <v>1638</v>
      </c>
      <c r="E74" s="24" t="s">
        <v>1441</v>
      </c>
      <c r="F74" s="11" t="s">
        <v>1563</v>
      </c>
      <c r="G74" s="11" t="s">
        <v>648</v>
      </c>
      <c r="H74" s="8" t="s">
        <v>151</v>
      </c>
      <c r="I74" s="12" t="s">
        <v>2632</v>
      </c>
      <c r="J74" s="25">
        <v>44014</v>
      </c>
      <c r="K74" s="25">
        <v>45171</v>
      </c>
      <c r="L74" s="26">
        <f t="shared" si="0"/>
        <v>85.000000166955815</v>
      </c>
      <c r="M74" s="11">
        <v>2</v>
      </c>
      <c r="N74" s="11" t="s">
        <v>630</v>
      </c>
      <c r="O74" s="11" t="s">
        <v>630</v>
      </c>
      <c r="P74" s="27" t="s">
        <v>174</v>
      </c>
      <c r="Q74" s="11" t="s">
        <v>34</v>
      </c>
      <c r="R74" s="1">
        <f t="shared" si="31"/>
        <v>2545583.83</v>
      </c>
      <c r="S74" s="1">
        <v>2545583.83</v>
      </c>
      <c r="T74" s="2">
        <v>0</v>
      </c>
      <c r="U74" s="1">
        <f t="shared" si="2"/>
        <v>389324.58</v>
      </c>
      <c r="V74" s="28">
        <v>389324.58</v>
      </c>
      <c r="W74" s="28">
        <v>0</v>
      </c>
      <c r="X74" s="1">
        <f t="shared" si="7"/>
        <v>59896.09</v>
      </c>
      <c r="Y74" s="2">
        <v>59896.09</v>
      </c>
      <c r="Z74" s="30">
        <v>0</v>
      </c>
      <c r="AA74" s="2">
        <v>0</v>
      </c>
      <c r="AB74" s="2">
        <v>0</v>
      </c>
      <c r="AC74" s="2">
        <v>0</v>
      </c>
      <c r="AD74" s="16">
        <f t="shared" si="30"/>
        <v>2994804.5</v>
      </c>
      <c r="AE74" s="42">
        <v>174735</v>
      </c>
      <c r="AF74" s="2">
        <f>AD74+AE74</f>
        <v>3169539.5</v>
      </c>
      <c r="AG74" s="38" t="s">
        <v>486</v>
      </c>
      <c r="AH74" s="38" t="s">
        <v>2239</v>
      </c>
      <c r="AI74" s="30">
        <f>64682.3+111484.3</f>
        <v>176166.6</v>
      </c>
      <c r="AJ74" s="30">
        <f>9892.58+17050.54</f>
        <v>26943.120000000003</v>
      </c>
    </row>
    <row r="75" spans="1:37" ht="151.5" customHeight="1" x14ac:dyDescent="0.25">
      <c r="A75" s="6">
        <v>72</v>
      </c>
      <c r="B75" s="11">
        <v>151877</v>
      </c>
      <c r="C75" s="11">
        <v>1115</v>
      </c>
      <c r="D75" s="9" t="s">
        <v>1639</v>
      </c>
      <c r="E75" s="24" t="s">
        <v>1801</v>
      </c>
      <c r="F75" s="11" t="s">
        <v>1826</v>
      </c>
      <c r="G75" s="11" t="s">
        <v>648</v>
      </c>
      <c r="H75" s="11" t="s">
        <v>1827</v>
      </c>
      <c r="I75" s="12" t="s">
        <v>1828</v>
      </c>
      <c r="J75" s="25">
        <v>44482</v>
      </c>
      <c r="K75" s="25">
        <v>44970</v>
      </c>
      <c r="L75" s="26">
        <f t="shared" si="0"/>
        <v>85</v>
      </c>
      <c r="M75" s="11">
        <v>2</v>
      </c>
      <c r="N75" s="11" t="s">
        <v>630</v>
      </c>
      <c r="O75" s="11" t="s">
        <v>630</v>
      </c>
      <c r="P75" s="27" t="s">
        <v>174</v>
      </c>
      <c r="Q75" s="11" t="s">
        <v>34</v>
      </c>
      <c r="R75" s="1">
        <f t="shared" si="31"/>
        <v>299497.5</v>
      </c>
      <c r="S75" s="1">
        <v>299497.5</v>
      </c>
      <c r="T75" s="2">
        <v>0</v>
      </c>
      <c r="U75" s="1">
        <f t="shared" si="2"/>
        <v>41944.5</v>
      </c>
      <c r="V75" s="28">
        <v>41944.5</v>
      </c>
      <c r="W75" s="28">
        <v>0</v>
      </c>
      <c r="X75" s="1">
        <f t="shared" si="7"/>
        <v>10908</v>
      </c>
      <c r="Y75" s="2">
        <v>10908</v>
      </c>
      <c r="Z75" s="30">
        <v>0</v>
      </c>
      <c r="AA75" s="2">
        <v>0</v>
      </c>
      <c r="AB75" s="2">
        <v>0</v>
      </c>
      <c r="AC75" s="2">
        <v>0</v>
      </c>
      <c r="AD75" s="16">
        <f t="shared" si="30"/>
        <v>352350</v>
      </c>
      <c r="AE75" s="35">
        <v>0</v>
      </c>
      <c r="AF75" s="2">
        <f>AD75+AE75</f>
        <v>352350</v>
      </c>
      <c r="AG75" s="38" t="s">
        <v>486</v>
      </c>
      <c r="AH75" s="35"/>
      <c r="AI75" s="30">
        <f>7259.51+56372.05</f>
        <v>63631.560000000005</v>
      </c>
      <c r="AJ75" s="30">
        <f>1110.28+7032.49</f>
        <v>8142.7699999999995</v>
      </c>
    </row>
    <row r="76" spans="1:37" ht="393.75" x14ac:dyDescent="0.25">
      <c r="A76" s="6">
        <v>73</v>
      </c>
      <c r="B76" s="31">
        <v>111300</v>
      </c>
      <c r="C76" s="11">
        <v>123</v>
      </c>
      <c r="D76" s="9" t="s">
        <v>1638</v>
      </c>
      <c r="E76" s="24" t="s">
        <v>277</v>
      </c>
      <c r="F76" s="11" t="s">
        <v>223</v>
      </c>
      <c r="G76" s="11" t="s">
        <v>224</v>
      </c>
      <c r="H76" s="8" t="s">
        <v>151</v>
      </c>
      <c r="I76" s="33" t="s">
        <v>225</v>
      </c>
      <c r="J76" s="25">
        <v>43145</v>
      </c>
      <c r="K76" s="25">
        <v>43630</v>
      </c>
      <c r="L76" s="26">
        <f t="shared" si="0"/>
        <v>84.999999881712782</v>
      </c>
      <c r="M76" s="11">
        <v>7</v>
      </c>
      <c r="N76" s="11" t="s">
        <v>226</v>
      </c>
      <c r="O76" s="11" t="s">
        <v>227</v>
      </c>
      <c r="P76" s="27" t="s">
        <v>174</v>
      </c>
      <c r="Q76" s="11" t="s">
        <v>34</v>
      </c>
      <c r="R76" s="1">
        <f>S76+T76</f>
        <v>359294.94</v>
      </c>
      <c r="S76" s="39">
        <v>359294.94</v>
      </c>
      <c r="T76" s="1">
        <v>0</v>
      </c>
      <c r="U76" s="1">
        <f t="shared" si="2"/>
        <v>54950.99</v>
      </c>
      <c r="V76" s="52">
        <v>54950.99</v>
      </c>
      <c r="W76" s="28">
        <v>0</v>
      </c>
      <c r="X76" s="1">
        <f t="shared" si="7"/>
        <v>8454</v>
      </c>
      <c r="Y76" s="2">
        <v>8454</v>
      </c>
      <c r="Z76" s="2">
        <v>0</v>
      </c>
      <c r="AA76" s="2">
        <f t="shared" ref="AA76:AA95" si="34">AB76+AC76</f>
        <v>0</v>
      </c>
      <c r="AB76" s="69">
        <v>0</v>
      </c>
      <c r="AC76" s="69">
        <v>0</v>
      </c>
      <c r="AD76" s="16">
        <f t="shared" si="30"/>
        <v>422699.93</v>
      </c>
      <c r="AE76" s="2">
        <v>0</v>
      </c>
      <c r="AF76" s="2">
        <f>AD76+AE76</f>
        <v>422699.93</v>
      </c>
      <c r="AG76" s="21" t="s">
        <v>857</v>
      </c>
      <c r="AH76" s="29" t="s">
        <v>151</v>
      </c>
      <c r="AI76" s="30">
        <v>330029.05000000005</v>
      </c>
      <c r="AJ76" s="30">
        <v>50475.040000000001</v>
      </c>
      <c r="AK76" s="119"/>
    </row>
    <row r="77" spans="1:37" ht="166.5" customHeight="1" x14ac:dyDescent="0.25">
      <c r="A77" s="6">
        <v>74</v>
      </c>
      <c r="B77" s="31">
        <v>110505</v>
      </c>
      <c r="C77" s="11">
        <v>125</v>
      </c>
      <c r="D77" s="9" t="s">
        <v>1638</v>
      </c>
      <c r="E77" s="24" t="s">
        <v>277</v>
      </c>
      <c r="F77" s="11" t="s">
        <v>262</v>
      </c>
      <c r="G77" s="11" t="s">
        <v>1265</v>
      </c>
      <c r="H77" s="8" t="s">
        <v>151</v>
      </c>
      <c r="I77" s="12" t="s">
        <v>265</v>
      </c>
      <c r="J77" s="25">
        <v>43173</v>
      </c>
      <c r="K77" s="25">
        <v>43660</v>
      </c>
      <c r="L77" s="26">
        <f t="shared" si="0"/>
        <v>84.99999981945335</v>
      </c>
      <c r="M77" s="11">
        <v>7</v>
      </c>
      <c r="N77" s="11" t="s">
        <v>226</v>
      </c>
      <c r="O77" s="11" t="s">
        <v>226</v>
      </c>
      <c r="P77" s="27" t="s">
        <v>174</v>
      </c>
      <c r="Q77" s="11" t="s">
        <v>34</v>
      </c>
      <c r="R77" s="1">
        <f>S77+T77</f>
        <v>470792.44</v>
      </c>
      <c r="S77" s="2">
        <v>470792.44</v>
      </c>
      <c r="T77" s="2">
        <v>0</v>
      </c>
      <c r="U77" s="1">
        <f t="shared" si="2"/>
        <v>72003.55</v>
      </c>
      <c r="V77" s="28">
        <v>72003.55</v>
      </c>
      <c r="W77" s="28">
        <v>0</v>
      </c>
      <c r="X77" s="1">
        <f t="shared" si="7"/>
        <v>11077.47</v>
      </c>
      <c r="Y77" s="2">
        <v>11077.47</v>
      </c>
      <c r="Z77" s="2">
        <v>0</v>
      </c>
      <c r="AA77" s="2">
        <f t="shared" si="34"/>
        <v>0</v>
      </c>
      <c r="AB77" s="69">
        <v>0</v>
      </c>
      <c r="AC77" s="69">
        <v>0</v>
      </c>
      <c r="AD77" s="16">
        <f t="shared" si="30"/>
        <v>553873.46</v>
      </c>
      <c r="AE77" s="2">
        <v>0</v>
      </c>
      <c r="AF77" s="2">
        <f t="shared" ref="AF77:AF95" si="35">AD77+AE77</f>
        <v>553873.46</v>
      </c>
      <c r="AG77" s="21" t="s">
        <v>857</v>
      </c>
      <c r="AH77" s="29" t="s">
        <v>151</v>
      </c>
      <c r="AI77" s="30">
        <v>369783.92</v>
      </c>
      <c r="AJ77" s="30">
        <v>56555.21</v>
      </c>
    </row>
    <row r="78" spans="1:37" ht="318.75" customHeight="1" x14ac:dyDescent="0.25">
      <c r="A78" s="6">
        <v>75</v>
      </c>
      <c r="B78" s="31">
        <v>119450</v>
      </c>
      <c r="C78" s="11">
        <v>485</v>
      </c>
      <c r="D78" s="9" t="s">
        <v>1638</v>
      </c>
      <c r="E78" s="24" t="s">
        <v>457</v>
      </c>
      <c r="F78" s="11" t="s">
        <v>653</v>
      </c>
      <c r="G78" s="11" t="s">
        <v>1645</v>
      </c>
      <c r="H78" s="8" t="s">
        <v>151</v>
      </c>
      <c r="I78" s="12" t="s">
        <v>654</v>
      </c>
      <c r="J78" s="25">
        <v>43298</v>
      </c>
      <c r="K78" s="25">
        <v>43786</v>
      </c>
      <c r="L78" s="26">
        <f t="shared" si="0"/>
        <v>85.000002578269815</v>
      </c>
      <c r="M78" s="11">
        <v>7</v>
      </c>
      <c r="N78" s="11" t="s">
        <v>226</v>
      </c>
      <c r="O78" s="11" t="s">
        <v>822</v>
      </c>
      <c r="P78" s="27" t="s">
        <v>174</v>
      </c>
      <c r="Q78" s="11" t="s">
        <v>34</v>
      </c>
      <c r="R78" s="1">
        <f t="shared" ref="R78:R79" si="36">S78+T78</f>
        <v>329678.46000000002</v>
      </c>
      <c r="S78" s="2">
        <v>329678.46000000002</v>
      </c>
      <c r="T78" s="2">
        <v>0</v>
      </c>
      <c r="U78" s="1">
        <f t="shared" si="2"/>
        <v>50421.4</v>
      </c>
      <c r="V78" s="28">
        <v>50421.4</v>
      </c>
      <c r="W78" s="28">
        <v>0</v>
      </c>
      <c r="X78" s="1">
        <f t="shared" si="7"/>
        <v>7757.14</v>
      </c>
      <c r="Y78" s="2">
        <v>7757.14</v>
      </c>
      <c r="Z78" s="2">
        <v>0</v>
      </c>
      <c r="AA78" s="2">
        <f t="shared" si="34"/>
        <v>0</v>
      </c>
      <c r="AB78" s="69">
        <v>0</v>
      </c>
      <c r="AC78" s="69">
        <v>0</v>
      </c>
      <c r="AD78" s="16">
        <f t="shared" si="30"/>
        <v>387857.00000000006</v>
      </c>
      <c r="AE78" s="2">
        <v>0</v>
      </c>
      <c r="AF78" s="2">
        <f t="shared" si="35"/>
        <v>387857.00000000006</v>
      </c>
      <c r="AG78" s="21" t="s">
        <v>857</v>
      </c>
      <c r="AH78" s="29" t="s">
        <v>151</v>
      </c>
      <c r="AI78" s="30">
        <v>321577.40000000002</v>
      </c>
      <c r="AJ78" s="30">
        <v>49182.460000000006</v>
      </c>
    </row>
    <row r="79" spans="1:37" ht="409.5" x14ac:dyDescent="0.25">
      <c r="A79" s="6">
        <v>76</v>
      </c>
      <c r="B79" s="31">
        <v>118753</v>
      </c>
      <c r="C79" s="11">
        <v>438</v>
      </c>
      <c r="D79" s="32" t="s">
        <v>1639</v>
      </c>
      <c r="E79" s="24" t="s">
        <v>507</v>
      </c>
      <c r="F79" s="11" t="s">
        <v>821</v>
      </c>
      <c r="G79" s="11" t="s">
        <v>1645</v>
      </c>
      <c r="H79" s="8" t="s">
        <v>151</v>
      </c>
      <c r="I79" s="32" t="s">
        <v>823</v>
      </c>
      <c r="J79" s="25">
        <v>43348</v>
      </c>
      <c r="K79" s="25">
        <v>43651</v>
      </c>
      <c r="L79" s="26">
        <f t="shared" si="0"/>
        <v>85.000001668065067</v>
      </c>
      <c r="M79" s="11">
        <v>7</v>
      </c>
      <c r="N79" s="11" t="s">
        <v>226</v>
      </c>
      <c r="O79" s="11" t="s">
        <v>822</v>
      </c>
      <c r="P79" s="27" t="s">
        <v>174</v>
      </c>
      <c r="Q79" s="11" t="s">
        <v>34</v>
      </c>
      <c r="R79" s="1">
        <f t="shared" si="36"/>
        <v>254786.23</v>
      </c>
      <c r="S79" s="30">
        <v>254786.23</v>
      </c>
      <c r="T79" s="2">
        <v>0</v>
      </c>
      <c r="U79" s="1">
        <f t="shared" si="2"/>
        <v>38967.300000000003</v>
      </c>
      <c r="V79" s="42">
        <v>38967.300000000003</v>
      </c>
      <c r="W79" s="28">
        <v>0</v>
      </c>
      <c r="X79" s="1">
        <f t="shared" si="7"/>
        <v>5994.97</v>
      </c>
      <c r="Y79" s="30">
        <v>5994.97</v>
      </c>
      <c r="Z79" s="30">
        <v>0</v>
      </c>
      <c r="AA79" s="2">
        <f t="shared" si="34"/>
        <v>0</v>
      </c>
      <c r="AB79" s="41">
        <v>0</v>
      </c>
      <c r="AC79" s="41">
        <v>0</v>
      </c>
      <c r="AD79" s="16">
        <f t="shared" si="30"/>
        <v>299748.5</v>
      </c>
      <c r="AE79" s="38">
        <v>0</v>
      </c>
      <c r="AF79" s="2">
        <f t="shared" si="35"/>
        <v>299748.5</v>
      </c>
      <c r="AG79" s="21" t="s">
        <v>857</v>
      </c>
      <c r="AH79" s="29" t="s">
        <v>151</v>
      </c>
      <c r="AI79" s="30">
        <v>238361.69</v>
      </c>
      <c r="AJ79" s="30">
        <v>36455.329999999994</v>
      </c>
      <c r="AK79" s="43"/>
    </row>
    <row r="80" spans="1:37" ht="141.75" x14ac:dyDescent="0.25">
      <c r="A80" s="6">
        <v>77</v>
      </c>
      <c r="B80" s="31">
        <v>126380</v>
      </c>
      <c r="C80" s="11">
        <v>567</v>
      </c>
      <c r="D80" s="9" t="s">
        <v>1638</v>
      </c>
      <c r="E80" s="32" t="s">
        <v>899</v>
      </c>
      <c r="F80" s="70" t="s">
        <v>918</v>
      </c>
      <c r="G80" s="11" t="s">
        <v>919</v>
      </c>
      <c r="H80" s="8" t="s">
        <v>151</v>
      </c>
      <c r="I80" s="32" t="s">
        <v>2633</v>
      </c>
      <c r="J80" s="25">
        <v>43440</v>
      </c>
      <c r="K80" s="25">
        <v>44475</v>
      </c>
      <c r="L80" s="26">
        <f t="shared" si="0"/>
        <v>85.00000001812522</v>
      </c>
      <c r="M80" s="11">
        <v>7</v>
      </c>
      <c r="N80" s="11" t="s">
        <v>226</v>
      </c>
      <c r="O80" s="11" t="s">
        <v>226</v>
      </c>
      <c r="P80" s="27" t="s">
        <v>174</v>
      </c>
      <c r="Q80" s="11" t="s">
        <v>34</v>
      </c>
      <c r="R80" s="1">
        <f>S80+T80</f>
        <v>2344798.5</v>
      </c>
      <c r="S80" s="30">
        <v>2344798.5</v>
      </c>
      <c r="T80" s="2">
        <v>0</v>
      </c>
      <c r="U80" s="1">
        <f t="shared" si="2"/>
        <v>358616.24</v>
      </c>
      <c r="V80" s="42">
        <v>358616.24</v>
      </c>
      <c r="W80" s="28">
        <v>0</v>
      </c>
      <c r="X80" s="1">
        <f t="shared" si="7"/>
        <v>55171.73</v>
      </c>
      <c r="Y80" s="30">
        <v>55171.73</v>
      </c>
      <c r="Z80" s="30">
        <v>0</v>
      </c>
      <c r="AA80" s="2">
        <f>AB80+AC80</f>
        <v>0</v>
      </c>
      <c r="AB80" s="41">
        <v>0</v>
      </c>
      <c r="AC80" s="41">
        <v>0</v>
      </c>
      <c r="AD80" s="16">
        <f t="shared" si="30"/>
        <v>2758586.47</v>
      </c>
      <c r="AE80" s="38">
        <v>78540</v>
      </c>
      <c r="AF80" s="2">
        <f>AD80+AE80+AB80</f>
        <v>2837126.47</v>
      </c>
      <c r="AG80" s="38" t="s">
        <v>857</v>
      </c>
      <c r="AH80" s="29" t="s">
        <v>1687</v>
      </c>
      <c r="AI80" s="30">
        <f>93072.41+133593.65+14946.4+380697.25+26616.05+16173.8+9198.7+1078704.06+516946.6</f>
        <v>2269948.92</v>
      </c>
      <c r="AJ80" s="30">
        <f>14234.6+20431.97+2285.92+58224.28+4070.69+2473.64+1406.86+164978.27+79062.42</f>
        <v>347168.64999999997</v>
      </c>
    </row>
    <row r="81" spans="1:36" ht="173.25" x14ac:dyDescent="0.25">
      <c r="A81" s="6">
        <v>78</v>
      </c>
      <c r="B81" s="31">
        <v>126524</v>
      </c>
      <c r="C81" s="11">
        <v>552</v>
      </c>
      <c r="D81" s="9" t="s">
        <v>1638</v>
      </c>
      <c r="E81" s="32" t="s">
        <v>899</v>
      </c>
      <c r="F81" s="11" t="s">
        <v>959</v>
      </c>
      <c r="G81" s="11" t="s">
        <v>960</v>
      </c>
      <c r="H81" s="8" t="s">
        <v>151</v>
      </c>
      <c r="I81" s="32" t="s">
        <v>2634</v>
      </c>
      <c r="J81" s="25">
        <v>43480</v>
      </c>
      <c r="K81" s="25">
        <v>44180</v>
      </c>
      <c r="L81" s="26">
        <f t="shared" si="0"/>
        <v>84.99999981002415</v>
      </c>
      <c r="M81" s="11">
        <v>7</v>
      </c>
      <c r="N81" s="11" t="s">
        <v>226</v>
      </c>
      <c r="O81" s="11" t="s">
        <v>263</v>
      </c>
      <c r="P81" s="27" t="s">
        <v>174</v>
      </c>
      <c r="Q81" s="11" t="s">
        <v>34</v>
      </c>
      <c r="R81" s="1">
        <f t="shared" ref="R81:R82" si="37">S81+T81</f>
        <v>2460839.27</v>
      </c>
      <c r="S81" s="30">
        <v>2460839.27</v>
      </c>
      <c r="T81" s="2">
        <v>0</v>
      </c>
      <c r="U81" s="1">
        <f t="shared" si="2"/>
        <v>376363.66</v>
      </c>
      <c r="V81" s="42">
        <v>376363.66</v>
      </c>
      <c r="W81" s="28"/>
      <c r="X81" s="1">
        <f t="shared" si="7"/>
        <v>57902.1</v>
      </c>
      <c r="Y81" s="30">
        <v>57902.1</v>
      </c>
      <c r="Z81" s="30">
        <v>0</v>
      </c>
      <c r="AA81" s="2">
        <f t="shared" ref="AA81:AA82" si="38">AB81+AC81</f>
        <v>0</v>
      </c>
      <c r="AB81" s="41">
        <v>0</v>
      </c>
      <c r="AC81" s="41">
        <v>0</v>
      </c>
      <c r="AD81" s="16">
        <f t="shared" si="30"/>
        <v>2895105.0300000003</v>
      </c>
      <c r="AE81" s="38">
        <v>0</v>
      </c>
      <c r="AF81" s="2">
        <f t="shared" ref="AF81:AF91" si="39">AD81+AE81</f>
        <v>2895105.0300000003</v>
      </c>
      <c r="AG81" s="38" t="s">
        <v>857</v>
      </c>
      <c r="AH81" s="29" t="s">
        <v>1644</v>
      </c>
      <c r="AI81" s="30">
        <f>132379.54+23465.1+1059324.47+12491.6+792382.73</f>
        <v>2020043.44</v>
      </c>
      <c r="AJ81" s="30">
        <f>20246.28+3588.78+162014.32+1910.48+121187.95</f>
        <v>308947.81</v>
      </c>
    </row>
    <row r="82" spans="1:36" ht="242.25" customHeight="1" x14ac:dyDescent="0.25">
      <c r="A82" s="6">
        <v>79</v>
      </c>
      <c r="B82" s="31">
        <v>126332</v>
      </c>
      <c r="C82" s="11">
        <v>565</v>
      </c>
      <c r="D82" s="9" t="s">
        <v>1638</v>
      </c>
      <c r="E82" s="32" t="s">
        <v>899</v>
      </c>
      <c r="F82" s="11" t="s">
        <v>1059</v>
      </c>
      <c r="G82" s="11" t="s">
        <v>1060</v>
      </c>
      <c r="H82" s="8" t="s">
        <v>151</v>
      </c>
      <c r="I82" s="33" t="s">
        <v>2635</v>
      </c>
      <c r="J82" s="25">
        <v>43601</v>
      </c>
      <c r="K82" s="25">
        <v>44697</v>
      </c>
      <c r="L82" s="26">
        <f t="shared" si="0"/>
        <v>85.000000553635857</v>
      </c>
      <c r="M82" s="11">
        <v>7</v>
      </c>
      <c r="N82" s="11" t="s">
        <v>226</v>
      </c>
      <c r="O82" s="11" t="s">
        <v>226</v>
      </c>
      <c r="P82" s="27" t="s">
        <v>174</v>
      </c>
      <c r="Q82" s="11" t="s">
        <v>34</v>
      </c>
      <c r="R82" s="1">
        <f t="shared" si="37"/>
        <v>1919131.5</v>
      </c>
      <c r="S82" s="30">
        <v>1919131.5</v>
      </c>
      <c r="T82" s="2">
        <v>0</v>
      </c>
      <c r="U82" s="1">
        <f t="shared" si="2"/>
        <v>293514.21000000002</v>
      </c>
      <c r="V82" s="42">
        <v>293514.21000000002</v>
      </c>
      <c r="W82" s="28">
        <v>0</v>
      </c>
      <c r="X82" s="1">
        <f t="shared" si="7"/>
        <v>45156.04</v>
      </c>
      <c r="Y82" s="30">
        <v>45156.04</v>
      </c>
      <c r="Z82" s="30">
        <v>0</v>
      </c>
      <c r="AA82" s="2">
        <f t="shared" si="38"/>
        <v>0</v>
      </c>
      <c r="AB82" s="41">
        <v>0</v>
      </c>
      <c r="AC82" s="41">
        <v>0</v>
      </c>
      <c r="AD82" s="16">
        <f t="shared" si="30"/>
        <v>2257801.75</v>
      </c>
      <c r="AE82" s="38">
        <v>0</v>
      </c>
      <c r="AF82" s="2">
        <f t="shared" si="39"/>
        <v>2257801.75</v>
      </c>
      <c r="AG82" s="38" t="s">
        <v>857</v>
      </c>
      <c r="AH82" s="29" t="s">
        <v>1979</v>
      </c>
      <c r="AI82" s="30">
        <f>110380.85+341720.62-27335.1+206064.6-8265.27+113793.75+221124.82-17403.75+136197.5+184398.38+557956.36</f>
        <v>1818632.7599999998</v>
      </c>
      <c r="AJ82" s="30">
        <f>9619.15+25878.71+27335.1+8265.27+17403.75+24289.72+17403.75+62613.87+85334.51</f>
        <v>278143.83</v>
      </c>
    </row>
    <row r="83" spans="1:36" ht="242.25" customHeight="1" x14ac:dyDescent="0.25">
      <c r="A83" s="6">
        <v>80</v>
      </c>
      <c r="B83" s="31">
        <v>128663</v>
      </c>
      <c r="C83" s="11">
        <v>681</v>
      </c>
      <c r="D83" s="9" t="s">
        <v>1638</v>
      </c>
      <c r="E83" s="32" t="s">
        <v>1071</v>
      </c>
      <c r="F83" s="11" t="s">
        <v>1892</v>
      </c>
      <c r="G83" s="11" t="s">
        <v>1265</v>
      </c>
      <c r="H83" s="11" t="s">
        <v>1266</v>
      </c>
      <c r="I83" s="33" t="s">
        <v>1267</v>
      </c>
      <c r="J83" s="25">
        <v>43683</v>
      </c>
      <c r="K83" s="25">
        <v>44810</v>
      </c>
      <c r="L83" s="26">
        <f t="shared" si="0"/>
        <v>84.604864390882867</v>
      </c>
      <c r="M83" s="11">
        <v>7</v>
      </c>
      <c r="N83" s="11" t="s">
        <v>226</v>
      </c>
      <c r="O83" s="11" t="s">
        <v>226</v>
      </c>
      <c r="P83" s="27" t="s">
        <v>174</v>
      </c>
      <c r="Q83" s="11" t="s">
        <v>34</v>
      </c>
      <c r="R83" s="1">
        <f t="shared" ref="R83:R91" si="40">S83+T83</f>
        <v>3173338.5</v>
      </c>
      <c r="S83" s="30">
        <v>3173338.5</v>
      </c>
      <c r="T83" s="2">
        <v>0</v>
      </c>
      <c r="U83" s="1">
        <f t="shared" ref="U83:U91" si="41">V83+W83</f>
        <v>502421.46</v>
      </c>
      <c r="V83" s="42">
        <v>502421.46</v>
      </c>
      <c r="W83" s="28">
        <v>0</v>
      </c>
      <c r="X83" s="1">
        <f t="shared" si="7"/>
        <v>57579.43</v>
      </c>
      <c r="Y83" s="30">
        <v>57579.43</v>
      </c>
      <c r="Z83" s="30"/>
      <c r="AA83" s="2">
        <f t="shared" ref="AA83:AA91" si="42">AB83+AC83</f>
        <v>17436.080000000002</v>
      </c>
      <c r="AB83" s="41">
        <v>17436.080000000002</v>
      </c>
      <c r="AC83" s="41">
        <v>0</v>
      </c>
      <c r="AD83" s="16">
        <f t="shared" si="30"/>
        <v>3750775.47</v>
      </c>
      <c r="AE83" s="38">
        <v>0</v>
      </c>
      <c r="AF83" s="2">
        <f t="shared" si="39"/>
        <v>3750775.47</v>
      </c>
      <c r="AG83" s="38" t="s">
        <v>857</v>
      </c>
      <c r="AH83" s="29" t="s">
        <v>1999</v>
      </c>
      <c r="AI83" s="30">
        <f>29936.15+58571.7+142260.5+208810.2+151593.51+1032937.68+179659.48+165163.03+35595.96+22763.85+327286.13+670982</f>
        <v>3025560.1900000004</v>
      </c>
      <c r="AJ83" s="30">
        <f>4578.47+10336.18+24340.57+34536.75+25937.21+157978.7+31092.75+28549.9+5705.16+3481.53+50055.52+102620.78</f>
        <v>479213.52</v>
      </c>
    </row>
    <row r="84" spans="1:36" ht="242.25" customHeight="1" x14ac:dyDescent="0.25">
      <c r="A84" s="6">
        <v>81</v>
      </c>
      <c r="B84" s="31">
        <v>135887</v>
      </c>
      <c r="C84" s="11">
        <v>771</v>
      </c>
      <c r="D84" s="9" t="s">
        <v>1638</v>
      </c>
      <c r="E84" s="24" t="s">
        <v>1441</v>
      </c>
      <c r="F84" s="11" t="s">
        <v>1503</v>
      </c>
      <c r="G84" s="11" t="s">
        <v>1265</v>
      </c>
      <c r="H84" s="11" t="s">
        <v>1504</v>
      </c>
      <c r="I84" s="33" t="s">
        <v>2636</v>
      </c>
      <c r="J84" s="25">
        <v>43973</v>
      </c>
      <c r="K84" s="25">
        <v>44887</v>
      </c>
      <c r="L84" s="26">
        <f t="shared" si="0"/>
        <v>85.000000472330711</v>
      </c>
      <c r="M84" s="11">
        <v>7</v>
      </c>
      <c r="N84" s="11" t="s">
        <v>226</v>
      </c>
      <c r="O84" s="11" t="s">
        <v>263</v>
      </c>
      <c r="P84" s="27" t="s">
        <v>174</v>
      </c>
      <c r="Q84" s="11" t="s">
        <v>34</v>
      </c>
      <c r="R84" s="1">
        <f t="shared" si="40"/>
        <v>2519421.23</v>
      </c>
      <c r="S84" s="30">
        <v>2519421.23</v>
      </c>
      <c r="T84" s="2">
        <v>0</v>
      </c>
      <c r="U84" s="1">
        <f t="shared" si="41"/>
        <v>385323.23</v>
      </c>
      <c r="V84" s="42">
        <v>385323.23</v>
      </c>
      <c r="W84" s="28">
        <v>0</v>
      </c>
      <c r="X84" s="1">
        <f t="shared" si="7"/>
        <v>59280.5</v>
      </c>
      <c r="Y84" s="30">
        <v>59280.5</v>
      </c>
      <c r="Z84" s="30">
        <v>0</v>
      </c>
      <c r="AA84" s="2">
        <f t="shared" si="42"/>
        <v>0</v>
      </c>
      <c r="AB84" s="30">
        <v>0</v>
      </c>
      <c r="AC84" s="30">
        <v>0</v>
      </c>
      <c r="AD84" s="16">
        <f t="shared" si="30"/>
        <v>2964024.96</v>
      </c>
      <c r="AE84" s="38">
        <v>0</v>
      </c>
      <c r="AF84" s="2">
        <f t="shared" si="39"/>
        <v>2964024.96</v>
      </c>
      <c r="AG84" s="38" t="s">
        <v>486</v>
      </c>
      <c r="AH84" s="29"/>
      <c r="AI84" s="30">
        <f>28723.2+29070.01+32287.08+27169.4+29666.87+472011.8+448188.43+75747.57+34498.95+723247.95</f>
        <v>1900611.26</v>
      </c>
      <c r="AJ84" s="30">
        <f>4392.96+4446+4938.02+4155.32+4537.29+72190.04+68546.47+11584.92+5276.31+110614.39</f>
        <v>290681.71999999997</v>
      </c>
    </row>
    <row r="85" spans="1:36" ht="242.25" customHeight="1" x14ac:dyDescent="0.25">
      <c r="A85" s="6">
        <v>82</v>
      </c>
      <c r="B85" s="31">
        <v>136330</v>
      </c>
      <c r="C85" s="11">
        <v>840</v>
      </c>
      <c r="D85" s="9" t="s">
        <v>1638</v>
      </c>
      <c r="E85" s="24" t="s">
        <v>1441</v>
      </c>
      <c r="F85" s="11" t="s">
        <v>1536</v>
      </c>
      <c r="G85" s="11" t="s">
        <v>960</v>
      </c>
      <c r="H85" s="8" t="s">
        <v>151</v>
      </c>
      <c r="I85" s="33" t="s">
        <v>2637</v>
      </c>
      <c r="J85" s="25">
        <v>43998</v>
      </c>
      <c r="K85" s="25">
        <v>45001</v>
      </c>
      <c r="L85" s="26">
        <f t="shared" si="0"/>
        <v>85.000000132234348</v>
      </c>
      <c r="M85" s="11">
        <v>7</v>
      </c>
      <c r="N85" s="11" t="s">
        <v>226</v>
      </c>
      <c r="O85" s="11" t="s">
        <v>822</v>
      </c>
      <c r="P85" s="27" t="s">
        <v>174</v>
      </c>
      <c r="Q85" s="11" t="s">
        <v>34</v>
      </c>
      <c r="R85" s="1">
        <f t="shared" si="40"/>
        <v>3213990.68</v>
      </c>
      <c r="S85" s="30">
        <v>3213990.68</v>
      </c>
      <c r="T85" s="2">
        <v>0</v>
      </c>
      <c r="U85" s="1">
        <f t="shared" si="41"/>
        <v>491551.51</v>
      </c>
      <c r="V85" s="42">
        <v>491551.51</v>
      </c>
      <c r="W85" s="28">
        <v>0</v>
      </c>
      <c r="X85" s="1">
        <f t="shared" si="7"/>
        <v>75623.31</v>
      </c>
      <c r="Y85" s="30">
        <v>75623.31</v>
      </c>
      <c r="Z85" s="30">
        <v>0</v>
      </c>
      <c r="AA85" s="2">
        <f t="shared" si="42"/>
        <v>0</v>
      </c>
      <c r="AB85" s="30">
        <v>0</v>
      </c>
      <c r="AC85" s="30">
        <v>0</v>
      </c>
      <c r="AD85" s="16">
        <f t="shared" si="30"/>
        <v>3781165.5000000005</v>
      </c>
      <c r="AE85" s="38">
        <v>0</v>
      </c>
      <c r="AF85" s="2">
        <f t="shared" si="39"/>
        <v>3781165.5000000005</v>
      </c>
      <c r="AG85" s="38" t="s">
        <v>486</v>
      </c>
      <c r="AH85" s="29" t="s">
        <v>2254</v>
      </c>
      <c r="AI85" s="30">
        <f>18452.65+114508.06+21333.3+28721.86+31579.47+365479.99+1020374.85+705932.26</f>
        <v>2306382.44</v>
      </c>
      <c r="AJ85" s="30">
        <f>2822.17+17513+3262.74+4392.75+4829.8+55896.94+156057.33+107966.11</f>
        <v>352740.83999999997</v>
      </c>
    </row>
    <row r="86" spans="1:36" ht="204.75" x14ac:dyDescent="0.25">
      <c r="A86" s="6">
        <v>83</v>
      </c>
      <c r="B86" s="31">
        <v>152121</v>
      </c>
      <c r="C86" s="11">
        <v>1133</v>
      </c>
      <c r="D86" s="9" t="s">
        <v>1639</v>
      </c>
      <c r="E86" s="24" t="s">
        <v>1801</v>
      </c>
      <c r="F86" s="11" t="s">
        <v>1851</v>
      </c>
      <c r="G86" s="11" t="s">
        <v>919</v>
      </c>
      <c r="H86" s="8" t="s">
        <v>151</v>
      </c>
      <c r="I86" s="33" t="s">
        <v>2638</v>
      </c>
      <c r="J86" s="25">
        <v>44498</v>
      </c>
      <c r="K86" s="25">
        <v>44863</v>
      </c>
      <c r="L86" s="26">
        <f t="shared" si="0"/>
        <v>85.000000498008617</v>
      </c>
      <c r="M86" s="11">
        <v>7</v>
      </c>
      <c r="N86" s="11" t="s">
        <v>226</v>
      </c>
      <c r="O86" s="11" t="s">
        <v>226</v>
      </c>
      <c r="P86" s="27" t="s">
        <v>174</v>
      </c>
      <c r="Q86" s="11" t="s">
        <v>34</v>
      </c>
      <c r="R86" s="1">
        <f t="shared" si="40"/>
        <v>341359.56</v>
      </c>
      <c r="S86" s="30">
        <v>341359.56</v>
      </c>
      <c r="T86" s="2">
        <v>0</v>
      </c>
      <c r="U86" s="1">
        <f t="shared" si="41"/>
        <v>52207.93</v>
      </c>
      <c r="V86" s="42">
        <v>52207.93</v>
      </c>
      <c r="W86" s="28">
        <v>0</v>
      </c>
      <c r="X86" s="1">
        <f t="shared" si="7"/>
        <v>8031.99</v>
      </c>
      <c r="Y86" s="30">
        <v>8031.99</v>
      </c>
      <c r="Z86" s="30">
        <v>0</v>
      </c>
      <c r="AA86" s="2">
        <f t="shared" si="42"/>
        <v>0</v>
      </c>
      <c r="AB86" s="30">
        <v>0</v>
      </c>
      <c r="AC86" s="30">
        <v>0</v>
      </c>
      <c r="AD86" s="16">
        <f t="shared" si="30"/>
        <v>401599.48</v>
      </c>
      <c r="AE86" s="38">
        <v>0</v>
      </c>
      <c r="AF86" s="2">
        <f t="shared" si="39"/>
        <v>401599.48</v>
      </c>
      <c r="AG86" s="38" t="s">
        <v>857</v>
      </c>
      <c r="AH86" s="29"/>
      <c r="AI86" s="30">
        <v>0</v>
      </c>
      <c r="AJ86" s="30">
        <v>0</v>
      </c>
    </row>
    <row r="87" spans="1:36" ht="126.75" customHeight="1" x14ac:dyDescent="0.25">
      <c r="A87" s="6">
        <v>84</v>
      </c>
      <c r="B87" s="31">
        <v>152068</v>
      </c>
      <c r="C87" s="11">
        <v>1128</v>
      </c>
      <c r="D87" s="9" t="s">
        <v>1639</v>
      </c>
      <c r="E87" s="24" t="s">
        <v>1801</v>
      </c>
      <c r="F87" s="11" t="s">
        <v>1860</v>
      </c>
      <c r="G87" s="11" t="s">
        <v>1265</v>
      </c>
      <c r="H87" s="8" t="s">
        <v>151</v>
      </c>
      <c r="I87" s="33" t="s">
        <v>2639</v>
      </c>
      <c r="J87" s="25">
        <v>44511</v>
      </c>
      <c r="K87" s="25">
        <v>44996</v>
      </c>
      <c r="L87" s="26">
        <f t="shared" si="0"/>
        <v>85</v>
      </c>
      <c r="M87" s="11">
        <v>7</v>
      </c>
      <c r="N87" s="11" t="s">
        <v>226</v>
      </c>
      <c r="O87" s="11" t="s">
        <v>226</v>
      </c>
      <c r="P87" s="27" t="s">
        <v>174</v>
      </c>
      <c r="Q87" s="11" t="s">
        <v>34</v>
      </c>
      <c r="R87" s="1">
        <f t="shared" si="40"/>
        <v>351173.25</v>
      </c>
      <c r="S87" s="30">
        <v>351173.25</v>
      </c>
      <c r="T87" s="2">
        <v>0</v>
      </c>
      <c r="U87" s="1">
        <f t="shared" si="41"/>
        <v>53708.85</v>
      </c>
      <c r="V87" s="42">
        <v>53708.85</v>
      </c>
      <c r="W87" s="28">
        <v>0</v>
      </c>
      <c r="X87" s="1">
        <f t="shared" si="7"/>
        <v>8262.9</v>
      </c>
      <c r="Y87" s="30">
        <v>8262.9</v>
      </c>
      <c r="Z87" s="30">
        <v>0</v>
      </c>
      <c r="AA87" s="2">
        <f t="shared" si="42"/>
        <v>0</v>
      </c>
      <c r="AB87" s="30">
        <v>0</v>
      </c>
      <c r="AC87" s="30">
        <v>0</v>
      </c>
      <c r="AD87" s="16">
        <f t="shared" si="30"/>
        <v>413145</v>
      </c>
      <c r="AE87" s="38">
        <v>0</v>
      </c>
      <c r="AF87" s="2">
        <f t="shared" si="39"/>
        <v>413145</v>
      </c>
      <c r="AG87" s="38" t="s">
        <v>486</v>
      </c>
      <c r="AH87" s="29"/>
      <c r="AI87" s="30">
        <f>13604.93+8260.85</f>
        <v>21865.78</v>
      </c>
      <c r="AJ87" s="30">
        <f>2080.75+1263.43</f>
        <v>3344.1800000000003</v>
      </c>
    </row>
    <row r="88" spans="1:36" ht="126.75" customHeight="1" x14ac:dyDescent="0.25">
      <c r="A88" s="6">
        <v>85</v>
      </c>
      <c r="B88" s="31">
        <v>152232</v>
      </c>
      <c r="C88" s="11">
        <v>1148</v>
      </c>
      <c r="D88" s="9" t="s">
        <v>1639</v>
      </c>
      <c r="E88" s="24" t="s">
        <v>1801</v>
      </c>
      <c r="F88" s="11" t="s">
        <v>1972</v>
      </c>
      <c r="G88" s="11" t="s">
        <v>1060</v>
      </c>
      <c r="H88" s="8" t="s">
        <v>151</v>
      </c>
      <c r="I88" s="33" t="s">
        <v>2640</v>
      </c>
      <c r="J88" s="25">
        <v>44579</v>
      </c>
      <c r="K88" s="25">
        <v>45034</v>
      </c>
      <c r="L88" s="26">
        <f t="shared" si="0"/>
        <v>85.000000000000014</v>
      </c>
      <c r="M88" s="11">
        <v>7</v>
      </c>
      <c r="N88" s="11" t="s">
        <v>226</v>
      </c>
      <c r="O88" s="11" t="s">
        <v>1973</v>
      </c>
      <c r="P88" s="27" t="s">
        <v>174</v>
      </c>
      <c r="Q88" s="11" t="s">
        <v>34</v>
      </c>
      <c r="R88" s="1">
        <f t="shared" si="40"/>
        <v>350971.8</v>
      </c>
      <c r="S88" s="30">
        <v>350971.8</v>
      </c>
      <c r="T88" s="2">
        <v>0</v>
      </c>
      <c r="U88" s="1">
        <f t="shared" si="41"/>
        <v>53678.04</v>
      </c>
      <c r="V88" s="42">
        <v>53678.04</v>
      </c>
      <c r="W88" s="28">
        <v>0</v>
      </c>
      <c r="X88" s="1">
        <f t="shared" si="7"/>
        <v>8258.16</v>
      </c>
      <c r="Y88" s="30">
        <v>8258.16</v>
      </c>
      <c r="Z88" s="30">
        <v>0</v>
      </c>
      <c r="AA88" s="2">
        <f t="shared" si="42"/>
        <v>0</v>
      </c>
      <c r="AB88" s="30">
        <v>0</v>
      </c>
      <c r="AC88" s="30">
        <v>0</v>
      </c>
      <c r="AD88" s="16">
        <f t="shared" si="30"/>
        <v>412907.99999999994</v>
      </c>
      <c r="AE88" s="38">
        <v>0</v>
      </c>
      <c r="AF88" s="2">
        <f t="shared" si="39"/>
        <v>412907.99999999994</v>
      </c>
      <c r="AG88" s="38" t="s">
        <v>486</v>
      </c>
      <c r="AH88" s="29"/>
      <c r="AI88" s="30">
        <v>0</v>
      </c>
      <c r="AJ88" s="30">
        <v>0</v>
      </c>
    </row>
    <row r="89" spans="1:36" ht="126.75" customHeight="1" x14ac:dyDescent="0.25">
      <c r="A89" s="6">
        <v>86</v>
      </c>
      <c r="B89" s="31">
        <v>155079</v>
      </c>
      <c r="C89" s="11">
        <v>1212</v>
      </c>
      <c r="D89" s="9" t="s">
        <v>1638</v>
      </c>
      <c r="E89" s="24" t="s">
        <v>2012</v>
      </c>
      <c r="F89" s="11" t="s">
        <v>2079</v>
      </c>
      <c r="G89" s="11" t="s">
        <v>1060</v>
      </c>
      <c r="H89" s="8" t="s">
        <v>151</v>
      </c>
      <c r="I89" s="33" t="s">
        <v>2641</v>
      </c>
      <c r="J89" s="25">
        <v>44655</v>
      </c>
      <c r="K89" s="25">
        <v>45142</v>
      </c>
      <c r="L89" s="26">
        <f t="shared" si="0"/>
        <v>85</v>
      </c>
      <c r="M89" s="11">
        <v>7</v>
      </c>
      <c r="N89" s="11" t="s">
        <v>226</v>
      </c>
      <c r="O89" s="11" t="s">
        <v>1973</v>
      </c>
      <c r="P89" s="27" t="s">
        <v>174</v>
      </c>
      <c r="Q89" s="11" t="s">
        <v>34</v>
      </c>
      <c r="R89" s="1">
        <f t="shared" si="40"/>
        <v>2888574.55</v>
      </c>
      <c r="S89" s="30">
        <v>2888574.55</v>
      </c>
      <c r="T89" s="2">
        <v>0</v>
      </c>
      <c r="U89" s="1">
        <f t="shared" si="41"/>
        <v>441781.99</v>
      </c>
      <c r="V89" s="42">
        <v>441781.99</v>
      </c>
      <c r="W89" s="28">
        <v>0</v>
      </c>
      <c r="X89" s="1">
        <f t="shared" si="7"/>
        <v>67966.460000000006</v>
      </c>
      <c r="Y89" s="30">
        <v>67966.460000000006</v>
      </c>
      <c r="Z89" s="30">
        <v>0</v>
      </c>
      <c r="AA89" s="2">
        <f t="shared" si="42"/>
        <v>0</v>
      </c>
      <c r="AB89" s="30">
        <v>0</v>
      </c>
      <c r="AC89" s="30">
        <v>0</v>
      </c>
      <c r="AD89" s="16">
        <f t="shared" si="30"/>
        <v>3398323</v>
      </c>
      <c r="AE89" s="38">
        <v>0</v>
      </c>
      <c r="AF89" s="2">
        <f t="shared" si="39"/>
        <v>3398323</v>
      </c>
      <c r="AG89" s="38" t="s">
        <v>486</v>
      </c>
      <c r="AH89" s="29"/>
      <c r="AI89" s="30">
        <v>0</v>
      </c>
      <c r="AJ89" s="30">
        <v>0</v>
      </c>
    </row>
    <row r="90" spans="1:36" ht="126.75" customHeight="1" x14ac:dyDescent="0.25">
      <c r="A90" s="6">
        <v>87</v>
      </c>
      <c r="B90" s="31">
        <v>154612</v>
      </c>
      <c r="C90" s="11">
        <v>1185</v>
      </c>
      <c r="D90" s="9" t="s">
        <v>1638</v>
      </c>
      <c r="E90" s="24" t="s">
        <v>2012</v>
      </c>
      <c r="F90" s="11" t="s">
        <v>2190</v>
      </c>
      <c r="G90" s="11" t="s">
        <v>919</v>
      </c>
      <c r="H90" s="11" t="s">
        <v>2191</v>
      </c>
      <c r="I90" s="33" t="s">
        <v>2642</v>
      </c>
      <c r="J90" s="25">
        <v>44690</v>
      </c>
      <c r="K90" s="25">
        <v>45178</v>
      </c>
      <c r="L90" s="26">
        <f t="shared" si="0"/>
        <v>85.000000535927697</v>
      </c>
      <c r="M90" s="11">
        <v>7</v>
      </c>
      <c r="N90" s="11" t="s">
        <v>226</v>
      </c>
      <c r="O90" s="11" t="s">
        <v>226</v>
      </c>
      <c r="P90" s="27" t="s">
        <v>174</v>
      </c>
      <c r="Q90" s="11" t="s">
        <v>34</v>
      </c>
      <c r="R90" s="1">
        <f t="shared" si="40"/>
        <v>3489276.61</v>
      </c>
      <c r="S90" s="30">
        <v>3489276.61</v>
      </c>
      <c r="T90" s="2">
        <v>0</v>
      </c>
      <c r="U90" s="1">
        <f t="shared" si="41"/>
        <v>533654.05000000005</v>
      </c>
      <c r="V90" s="42">
        <v>533654.05000000005</v>
      </c>
      <c r="W90" s="28">
        <v>0</v>
      </c>
      <c r="X90" s="1">
        <f t="shared" si="7"/>
        <v>82100.62</v>
      </c>
      <c r="Y90" s="30">
        <v>82100.62</v>
      </c>
      <c r="Z90" s="30">
        <v>0</v>
      </c>
      <c r="AA90" s="2">
        <f t="shared" si="42"/>
        <v>0</v>
      </c>
      <c r="AB90" s="30">
        <v>0</v>
      </c>
      <c r="AC90" s="30">
        <v>0</v>
      </c>
      <c r="AD90" s="16">
        <f t="shared" si="30"/>
        <v>4105031.2800000003</v>
      </c>
      <c r="AE90" s="38">
        <v>0</v>
      </c>
      <c r="AF90" s="2">
        <f t="shared" si="39"/>
        <v>4105031.2800000003</v>
      </c>
      <c r="AG90" s="38" t="s">
        <v>486</v>
      </c>
      <c r="AH90" s="29"/>
      <c r="AI90" s="30">
        <v>0</v>
      </c>
      <c r="AJ90" s="30">
        <v>0</v>
      </c>
    </row>
    <row r="91" spans="1:36" ht="126.75" customHeight="1" x14ac:dyDescent="0.25">
      <c r="A91" s="6">
        <v>88</v>
      </c>
      <c r="B91" s="31">
        <v>155100</v>
      </c>
      <c r="C91" s="11">
        <v>1252</v>
      </c>
      <c r="D91" s="9" t="s">
        <v>1638</v>
      </c>
      <c r="E91" s="24" t="s">
        <v>2012</v>
      </c>
      <c r="F91" s="11" t="s">
        <v>2245</v>
      </c>
      <c r="G91" s="11" t="s">
        <v>224</v>
      </c>
      <c r="H91" s="8" t="s">
        <v>151</v>
      </c>
      <c r="I91" s="33" t="s">
        <v>2643</v>
      </c>
      <c r="J91" s="25">
        <v>44715</v>
      </c>
      <c r="K91" s="25">
        <v>45202</v>
      </c>
      <c r="L91" s="26">
        <f t="shared" si="0"/>
        <v>85</v>
      </c>
      <c r="M91" s="11">
        <v>7</v>
      </c>
      <c r="N91" s="11" t="s">
        <v>226</v>
      </c>
      <c r="O91" s="11" t="s">
        <v>227</v>
      </c>
      <c r="P91" s="27" t="s">
        <v>174</v>
      </c>
      <c r="Q91" s="11" t="s">
        <v>34</v>
      </c>
      <c r="R91" s="1">
        <f t="shared" si="40"/>
        <v>2521508</v>
      </c>
      <c r="S91" s="30">
        <v>2521508</v>
      </c>
      <c r="T91" s="2">
        <v>0</v>
      </c>
      <c r="U91" s="1">
        <f t="shared" si="41"/>
        <v>385642.4</v>
      </c>
      <c r="V91" s="42">
        <v>385642.4</v>
      </c>
      <c r="W91" s="28">
        <v>0</v>
      </c>
      <c r="X91" s="1">
        <f t="shared" si="7"/>
        <v>59329.599999999999</v>
      </c>
      <c r="Y91" s="30">
        <v>59329.599999999999</v>
      </c>
      <c r="Z91" s="30">
        <v>0</v>
      </c>
      <c r="AA91" s="2">
        <f t="shared" si="42"/>
        <v>0</v>
      </c>
      <c r="AB91" s="30">
        <v>0</v>
      </c>
      <c r="AC91" s="30">
        <v>0</v>
      </c>
      <c r="AD91" s="16">
        <f t="shared" si="30"/>
        <v>2966480</v>
      </c>
      <c r="AE91" s="38">
        <v>0</v>
      </c>
      <c r="AF91" s="2">
        <f t="shared" si="39"/>
        <v>2966480</v>
      </c>
      <c r="AG91" s="38" t="s">
        <v>486</v>
      </c>
      <c r="AH91" s="29"/>
      <c r="AI91" s="30">
        <v>0</v>
      </c>
      <c r="AJ91" s="30">
        <v>0</v>
      </c>
    </row>
    <row r="92" spans="1:36" ht="204.75" x14ac:dyDescent="0.25">
      <c r="A92" s="6">
        <v>89</v>
      </c>
      <c r="B92" s="31">
        <v>120503</v>
      </c>
      <c r="C92" s="11">
        <v>80</v>
      </c>
      <c r="D92" s="9" t="s">
        <v>1638</v>
      </c>
      <c r="E92" s="24" t="s">
        <v>276</v>
      </c>
      <c r="F92" s="70" t="s">
        <v>260</v>
      </c>
      <c r="G92" s="11" t="s">
        <v>905</v>
      </c>
      <c r="H92" s="8" t="s">
        <v>151</v>
      </c>
      <c r="I92" s="12" t="s">
        <v>264</v>
      </c>
      <c r="J92" s="25">
        <v>43173</v>
      </c>
      <c r="K92" s="25">
        <v>43599</v>
      </c>
      <c r="L92" s="26">
        <f t="shared" si="0"/>
        <v>79.999997969650394</v>
      </c>
      <c r="M92" s="11">
        <v>8</v>
      </c>
      <c r="N92" s="11" t="s">
        <v>261</v>
      </c>
      <c r="O92" s="11" t="s">
        <v>261</v>
      </c>
      <c r="P92" s="27" t="s">
        <v>174</v>
      </c>
      <c r="Q92" s="11" t="s">
        <v>34</v>
      </c>
      <c r="R92" s="1">
        <f t="shared" ref="R92:R95" si="43">S92+T92</f>
        <v>315216.64000000001</v>
      </c>
      <c r="S92" s="2">
        <v>0</v>
      </c>
      <c r="T92" s="2">
        <v>315216.64000000001</v>
      </c>
      <c r="U92" s="1">
        <f t="shared" si="2"/>
        <v>70923.75</v>
      </c>
      <c r="V92" s="28">
        <v>0</v>
      </c>
      <c r="W92" s="28">
        <v>70923.75</v>
      </c>
      <c r="X92" s="1">
        <f t="shared" si="7"/>
        <v>7880.42</v>
      </c>
      <c r="Y92" s="2">
        <v>0</v>
      </c>
      <c r="Z92" s="2">
        <v>7880.42</v>
      </c>
      <c r="AA92" s="2">
        <f t="shared" si="34"/>
        <v>0</v>
      </c>
      <c r="AB92" s="69">
        <v>0</v>
      </c>
      <c r="AC92" s="69">
        <v>0</v>
      </c>
      <c r="AD92" s="16">
        <f t="shared" si="30"/>
        <v>394020.81</v>
      </c>
      <c r="AE92" s="2">
        <v>0</v>
      </c>
      <c r="AF92" s="2">
        <f t="shared" si="35"/>
        <v>394020.81</v>
      </c>
      <c r="AG92" s="21" t="s">
        <v>857</v>
      </c>
      <c r="AH92" s="29" t="s">
        <v>151</v>
      </c>
      <c r="AI92" s="30">
        <v>238501.38</v>
      </c>
      <c r="AJ92" s="30">
        <v>53662.82</v>
      </c>
    </row>
    <row r="93" spans="1:36" ht="252" x14ac:dyDescent="0.25">
      <c r="A93" s="6">
        <v>90</v>
      </c>
      <c r="B93" s="31">
        <v>120710</v>
      </c>
      <c r="C93" s="11">
        <v>103</v>
      </c>
      <c r="D93" s="9" t="s">
        <v>1638</v>
      </c>
      <c r="E93" s="68" t="s">
        <v>276</v>
      </c>
      <c r="F93" s="27" t="s">
        <v>378</v>
      </c>
      <c r="G93" s="11" t="s">
        <v>1646</v>
      </c>
      <c r="H93" s="8" t="s">
        <v>151</v>
      </c>
      <c r="I93" s="45" t="s">
        <v>379</v>
      </c>
      <c r="J93" s="25">
        <v>43227</v>
      </c>
      <c r="K93" s="25">
        <v>43776</v>
      </c>
      <c r="L93" s="26">
        <f t="shared" si="0"/>
        <v>79.999999056893557</v>
      </c>
      <c r="M93" s="11">
        <v>8</v>
      </c>
      <c r="N93" s="11" t="s">
        <v>261</v>
      </c>
      <c r="O93" s="11" t="s">
        <v>261</v>
      </c>
      <c r="P93" s="11" t="s">
        <v>174</v>
      </c>
      <c r="Q93" s="11" t="s">
        <v>34</v>
      </c>
      <c r="R93" s="1">
        <f t="shared" si="43"/>
        <v>339304.22</v>
      </c>
      <c r="S93" s="41">
        <v>0</v>
      </c>
      <c r="T93" s="71">
        <v>339304.22</v>
      </c>
      <c r="U93" s="1">
        <f t="shared" si="2"/>
        <v>76343.45</v>
      </c>
      <c r="V93" s="42">
        <v>0</v>
      </c>
      <c r="W93" s="72">
        <v>76343.45</v>
      </c>
      <c r="X93" s="1">
        <f t="shared" si="7"/>
        <v>8482.61</v>
      </c>
      <c r="Y93" s="30">
        <v>0</v>
      </c>
      <c r="Z93" s="2">
        <v>8482.61</v>
      </c>
      <c r="AA93" s="2">
        <f t="shared" si="34"/>
        <v>0</v>
      </c>
      <c r="AB93" s="30">
        <v>0</v>
      </c>
      <c r="AC93" s="30">
        <v>0</v>
      </c>
      <c r="AD93" s="16">
        <f t="shared" si="30"/>
        <v>424130.27999999997</v>
      </c>
      <c r="AE93" s="35">
        <v>0</v>
      </c>
      <c r="AF93" s="2">
        <f t="shared" si="35"/>
        <v>424130.27999999997</v>
      </c>
      <c r="AG93" s="21" t="s">
        <v>857</v>
      </c>
      <c r="AH93" s="73" t="s">
        <v>1264</v>
      </c>
      <c r="AI93" s="30">
        <f>52550.4+283857.46</f>
        <v>336407.86000000004</v>
      </c>
      <c r="AJ93" s="30">
        <f>11823.84+63867.93</f>
        <v>75691.77</v>
      </c>
    </row>
    <row r="94" spans="1:36" ht="157.5" x14ac:dyDescent="0.25">
      <c r="A94" s="6">
        <v>91</v>
      </c>
      <c r="B94" s="31">
        <v>117665</v>
      </c>
      <c r="C94" s="11">
        <v>413</v>
      </c>
      <c r="D94" s="32" t="s">
        <v>1639</v>
      </c>
      <c r="E94" s="32" t="s">
        <v>508</v>
      </c>
      <c r="F94" s="27" t="s">
        <v>618</v>
      </c>
      <c r="G94" s="11" t="s">
        <v>905</v>
      </c>
      <c r="H94" s="8" t="s">
        <v>151</v>
      </c>
      <c r="I94" s="45" t="s">
        <v>2644</v>
      </c>
      <c r="J94" s="25">
        <v>43290</v>
      </c>
      <c r="K94" s="25">
        <v>43625</v>
      </c>
      <c r="L94" s="26">
        <f t="shared" si="0"/>
        <v>80</v>
      </c>
      <c r="M94" s="11">
        <v>8</v>
      </c>
      <c r="N94" s="11" t="s">
        <v>261</v>
      </c>
      <c r="O94" s="11" t="s">
        <v>261</v>
      </c>
      <c r="P94" s="11" t="s">
        <v>174</v>
      </c>
      <c r="Q94" s="11" t="s">
        <v>34</v>
      </c>
      <c r="R94" s="1">
        <f t="shared" si="43"/>
        <v>224534.64</v>
      </c>
      <c r="S94" s="41">
        <v>0</v>
      </c>
      <c r="T94" s="2">
        <v>224534.64</v>
      </c>
      <c r="U94" s="1">
        <f t="shared" si="2"/>
        <v>50520.29</v>
      </c>
      <c r="V94" s="42">
        <v>0</v>
      </c>
      <c r="W94" s="28">
        <v>50520.29</v>
      </c>
      <c r="X94" s="1">
        <f t="shared" si="7"/>
        <v>5613.37</v>
      </c>
      <c r="Y94" s="30">
        <v>0</v>
      </c>
      <c r="Z94" s="2">
        <v>5613.37</v>
      </c>
      <c r="AA94" s="2">
        <f t="shared" si="34"/>
        <v>0</v>
      </c>
      <c r="AB94" s="30">
        <v>0</v>
      </c>
      <c r="AC94" s="30">
        <v>0</v>
      </c>
      <c r="AD94" s="16">
        <f t="shared" si="30"/>
        <v>280668.3</v>
      </c>
      <c r="AE94" s="35">
        <v>0</v>
      </c>
      <c r="AF94" s="2">
        <f t="shared" si="35"/>
        <v>280668.3</v>
      </c>
      <c r="AG94" s="21" t="s">
        <v>857</v>
      </c>
      <c r="AH94" s="73" t="s">
        <v>1045</v>
      </c>
      <c r="AI94" s="30">
        <f>174905.44</f>
        <v>174905.44</v>
      </c>
      <c r="AJ94" s="30">
        <v>39353.72</v>
      </c>
    </row>
    <row r="95" spans="1:36" ht="60" customHeight="1" x14ac:dyDescent="0.25">
      <c r="A95" s="6">
        <v>92</v>
      </c>
      <c r="B95" s="31">
        <v>117676</v>
      </c>
      <c r="C95" s="11">
        <v>414</v>
      </c>
      <c r="D95" s="32" t="s">
        <v>1639</v>
      </c>
      <c r="E95" s="24" t="s">
        <v>508</v>
      </c>
      <c r="F95" s="27" t="s">
        <v>824</v>
      </c>
      <c r="G95" s="11" t="s">
        <v>924</v>
      </c>
      <c r="H95" s="8" t="s">
        <v>151</v>
      </c>
      <c r="I95" s="45" t="s">
        <v>825</v>
      </c>
      <c r="J95" s="25">
        <v>43348</v>
      </c>
      <c r="K95" s="25">
        <v>43713</v>
      </c>
      <c r="L95" s="26">
        <f t="shared" si="0"/>
        <v>80.000002000969275</v>
      </c>
      <c r="M95" s="11">
        <v>8</v>
      </c>
      <c r="N95" s="11" t="s">
        <v>261</v>
      </c>
      <c r="O95" s="11" t="s">
        <v>261</v>
      </c>
      <c r="P95" s="11" t="s">
        <v>174</v>
      </c>
      <c r="Q95" s="11" t="s">
        <v>34</v>
      </c>
      <c r="R95" s="1">
        <f t="shared" si="43"/>
        <v>239883.75</v>
      </c>
      <c r="S95" s="30">
        <v>0</v>
      </c>
      <c r="T95" s="2">
        <v>239883.75</v>
      </c>
      <c r="U95" s="1">
        <f t="shared" si="2"/>
        <v>53973.85</v>
      </c>
      <c r="V95" s="42">
        <v>0</v>
      </c>
      <c r="W95" s="28">
        <v>53973.85</v>
      </c>
      <c r="X95" s="1">
        <f t="shared" si="7"/>
        <v>5997.08</v>
      </c>
      <c r="Y95" s="30">
        <v>0</v>
      </c>
      <c r="Z95" s="2">
        <v>5997.08</v>
      </c>
      <c r="AA95" s="2">
        <f t="shared" si="34"/>
        <v>0</v>
      </c>
      <c r="AB95" s="36">
        <v>0</v>
      </c>
      <c r="AC95" s="36">
        <v>0</v>
      </c>
      <c r="AD95" s="16">
        <f t="shared" si="30"/>
        <v>299854.68</v>
      </c>
      <c r="AE95" s="35">
        <v>0</v>
      </c>
      <c r="AF95" s="2">
        <f t="shared" si="35"/>
        <v>299854.68</v>
      </c>
      <c r="AG95" s="21" t="s">
        <v>857</v>
      </c>
      <c r="AH95" s="35"/>
      <c r="AI95" s="30">
        <f>102261.61+121535.79</f>
        <v>223797.4</v>
      </c>
      <c r="AJ95" s="30">
        <f>23008.85+27345.55</f>
        <v>50354.399999999994</v>
      </c>
    </row>
    <row r="96" spans="1:36" ht="120" customHeight="1" x14ac:dyDescent="0.25">
      <c r="A96" s="6">
        <v>93</v>
      </c>
      <c r="B96" s="31">
        <v>126477</v>
      </c>
      <c r="C96" s="11">
        <v>507</v>
      </c>
      <c r="D96" s="9" t="s">
        <v>1638</v>
      </c>
      <c r="E96" s="24" t="s">
        <v>903</v>
      </c>
      <c r="F96" s="27" t="s">
        <v>904</v>
      </c>
      <c r="G96" s="11" t="s">
        <v>905</v>
      </c>
      <c r="H96" s="8" t="s">
        <v>151</v>
      </c>
      <c r="I96" s="45" t="s">
        <v>2645</v>
      </c>
      <c r="J96" s="25">
        <v>43433</v>
      </c>
      <c r="K96" s="25">
        <v>44225</v>
      </c>
      <c r="L96" s="26">
        <f t="shared" si="0"/>
        <v>79.999999581986273</v>
      </c>
      <c r="M96" s="11">
        <v>8</v>
      </c>
      <c r="N96" s="11" t="s">
        <v>261</v>
      </c>
      <c r="O96" s="11" t="s">
        <v>261</v>
      </c>
      <c r="P96" s="11" t="s">
        <v>174</v>
      </c>
      <c r="Q96" s="11" t="s">
        <v>34</v>
      </c>
      <c r="R96" s="1">
        <f>S96+T96</f>
        <v>3062100.2800000007</v>
      </c>
      <c r="S96" s="30">
        <v>0</v>
      </c>
      <c r="T96" s="2">
        <v>3062100.2800000007</v>
      </c>
      <c r="U96" s="1">
        <f t="shared" si="2"/>
        <v>688972.58</v>
      </c>
      <c r="V96" s="42">
        <v>0</v>
      </c>
      <c r="W96" s="28">
        <v>688972.58</v>
      </c>
      <c r="X96" s="1">
        <f t="shared" si="7"/>
        <v>76552.509999999995</v>
      </c>
      <c r="Y96" s="30">
        <v>0</v>
      </c>
      <c r="Z96" s="2">
        <v>76552.509999999995</v>
      </c>
      <c r="AA96" s="2">
        <f>AB96+AC96</f>
        <v>0</v>
      </c>
      <c r="AB96" s="2">
        <v>0</v>
      </c>
      <c r="AC96" s="2">
        <v>0</v>
      </c>
      <c r="AD96" s="16">
        <f t="shared" si="30"/>
        <v>3827625.3700000006</v>
      </c>
      <c r="AE96" s="35"/>
      <c r="AF96" s="2">
        <f>AD96+AE96</f>
        <v>3827625.3700000006</v>
      </c>
      <c r="AG96" s="38" t="s">
        <v>857</v>
      </c>
      <c r="AH96" s="38" t="s">
        <v>1673</v>
      </c>
      <c r="AI96" s="30">
        <f>858447.12+515278.43+1129072+185548</f>
        <v>2688345.55</v>
      </c>
      <c r="AJ96" s="30">
        <f>193150.61+115937.65+254041.2+41748.3</f>
        <v>604877.76</v>
      </c>
    </row>
    <row r="97" spans="1:36" ht="141.75" x14ac:dyDescent="0.25">
      <c r="A97" s="6">
        <v>94</v>
      </c>
      <c r="B97" s="31">
        <v>126372</v>
      </c>
      <c r="C97" s="11">
        <v>510</v>
      </c>
      <c r="D97" s="9" t="s">
        <v>1638</v>
      </c>
      <c r="E97" s="24" t="s">
        <v>903</v>
      </c>
      <c r="F97" s="27" t="s">
        <v>1881</v>
      </c>
      <c r="G97" s="11" t="s">
        <v>924</v>
      </c>
      <c r="H97" s="8" t="s">
        <v>151</v>
      </c>
      <c r="I97" s="45" t="s">
        <v>925</v>
      </c>
      <c r="J97" s="25">
        <v>43445</v>
      </c>
      <c r="K97" s="25">
        <v>44996</v>
      </c>
      <c r="L97" s="26">
        <f t="shared" si="0"/>
        <v>80</v>
      </c>
      <c r="M97" s="11">
        <v>8</v>
      </c>
      <c r="N97" s="11" t="s">
        <v>261</v>
      </c>
      <c r="O97" s="11" t="s">
        <v>261</v>
      </c>
      <c r="P97" s="11" t="s">
        <v>174</v>
      </c>
      <c r="Q97" s="11" t="s">
        <v>34</v>
      </c>
      <c r="R97" s="1">
        <f t="shared" ref="R97:R98" si="44">S97+T97</f>
        <v>2932376.8</v>
      </c>
      <c r="S97" s="30">
        <v>0</v>
      </c>
      <c r="T97" s="2">
        <v>2932376.8</v>
      </c>
      <c r="U97" s="1">
        <f t="shared" ref="U97:U98" si="45">V97+W97</f>
        <v>659784.78</v>
      </c>
      <c r="V97" s="42">
        <v>0</v>
      </c>
      <c r="W97" s="28">
        <v>659784.78</v>
      </c>
      <c r="X97" s="1">
        <f t="shared" si="7"/>
        <v>73309.42</v>
      </c>
      <c r="Y97" s="30">
        <v>0</v>
      </c>
      <c r="Z97" s="2">
        <v>73309.42</v>
      </c>
      <c r="AA97" s="2">
        <f>AB97+AC97</f>
        <v>0</v>
      </c>
      <c r="AB97" s="30">
        <v>0</v>
      </c>
      <c r="AC97" s="30">
        <v>0</v>
      </c>
      <c r="AD97" s="16">
        <f t="shared" si="30"/>
        <v>3665471</v>
      </c>
      <c r="AE97" s="37">
        <v>127687</v>
      </c>
      <c r="AF97" s="2">
        <f>AD97+AE97</f>
        <v>3793158</v>
      </c>
      <c r="AG97" s="38" t="s">
        <v>486</v>
      </c>
      <c r="AH97" s="38" t="s">
        <v>1764</v>
      </c>
      <c r="AI97" s="30">
        <f>368006.54+73168+58748.88+33607.94+8190.4+9326.33</f>
        <v>551048.09</v>
      </c>
      <c r="AJ97" s="30">
        <f>82801.48+16462.8+13218.5+7561.78+1842.84+2098.42</f>
        <v>123985.81999999999</v>
      </c>
    </row>
    <row r="98" spans="1:36" ht="141.75" x14ac:dyDescent="0.25">
      <c r="A98" s="6">
        <v>95</v>
      </c>
      <c r="B98" s="31">
        <v>128825</v>
      </c>
      <c r="C98" s="11">
        <v>661</v>
      </c>
      <c r="D98" s="9" t="s">
        <v>1638</v>
      </c>
      <c r="E98" s="24" t="s">
        <v>1116</v>
      </c>
      <c r="F98" s="27" t="s">
        <v>1117</v>
      </c>
      <c r="G98" s="11" t="s">
        <v>1647</v>
      </c>
      <c r="H98" s="11" t="s">
        <v>952</v>
      </c>
      <c r="I98" s="45" t="s">
        <v>1120</v>
      </c>
      <c r="J98" s="25">
        <v>43635</v>
      </c>
      <c r="K98" s="25">
        <v>44976</v>
      </c>
      <c r="L98" s="26">
        <f t="shared" si="0"/>
        <v>79.493002830992353</v>
      </c>
      <c r="M98" s="11">
        <v>8</v>
      </c>
      <c r="N98" s="11" t="s">
        <v>261</v>
      </c>
      <c r="O98" s="11" t="s">
        <v>261</v>
      </c>
      <c r="P98" s="11" t="s">
        <v>174</v>
      </c>
      <c r="Q98" s="11" t="s">
        <v>34</v>
      </c>
      <c r="R98" s="1">
        <f t="shared" si="44"/>
        <v>3436600.48</v>
      </c>
      <c r="S98" s="30">
        <v>0</v>
      </c>
      <c r="T98" s="2">
        <v>3436600.48</v>
      </c>
      <c r="U98" s="1">
        <f t="shared" si="45"/>
        <v>800084.95</v>
      </c>
      <c r="V98" s="42">
        <v>0</v>
      </c>
      <c r="W98" s="28">
        <v>800084.95</v>
      </c>
      <c r="X98" s="1">
        <f t="shared" si="7"/>
        <v>59065.17</v>
      </c>
      <c r="Y98" s="30">
        <v>0</v>
      </c>
      <c r="Z98" s="2">
        <v>59065.17</v>
      </c>
      <c r="AA98" s="2">
        <f t="shared" ref="AA98" si="46">AB98+AC98</f>
        <v>27397.8</v>
      </c>
      <c r="AB98" s="30">
        <v>0</v>
      </c>
      <c r="AC98" s="30">
        <v>27397.8</v>
      </c>
      <c r="AD98" s="16">
        <f t="shared" si="30"/>
        <v>4323148.3999999994</v>
      </c>
      <c r="AE98" s="37">
        <v>29750</v>
      </c>
      <c r="AF98" s="2">
        <f t="shared" ref="AF98" si="47">AD98+AE98</f>
        <v>4352898.3999999994</v>
      </c>
      <c r="AG98" s="38" t="s">
        <v>486</v>
      </c>
      <c r="AH98" s="38" t="s">
        <v>3164</v>
      </c>
      <c r="AI98" s="30">
        <f>1509131.05+136989-35150.8+436867.35</f>
        <v>2047836.6</v>
      </c>
      <c r="AJ98" s="30">
        <f>344554.78+35150.8+11716.54</f>
        <v>391422.12</v>
      </c>
    </row>
    <row r="99" spans="1:36" ht="141.75" x14ac:dyDescent="0.25">
      <c r="A99" s="6">
        <v>96</v>
      </c>
      <c r="B99" s="31">
        <v>129668</v>
      </c>
      <c r="C99" s="31">
        <v>673</v>
      </c>
      <c r="D99" s="9" t="s">
        <v>1638</v>
      </c>
      <c r="E99" s="24" t="s">
        <v>1116</v>
      </c>
      <c r="F99" s="67" t="s">
        <v>1118</v>
      </c>
      <c r="G99" s="11" t="s">
        <v>1646</v>
      </c>
      <c r="H99" s="8" t="s">
        <v>151</v>
      </c>
      <c r="I99" s="45" t="s">
        <v>1121</v>
      </c>
      <c r="J99" s="25">
        <v>43635</v>
      </c>
      <c r="K99" s="25">
        <v>44731</v>
      </c>
      <c r="L99" s="26">
        <f>R99/AD99*100</f>
        <v>80.000000100149578</v>
      </c>
      <c r="M99" s="11">
        <v>8</v>
      </c>
      <c r="N99" s="11" t="s">
        <v>261</v>
      </c>
      <c r="O99" s="11" t="s">
        <v>261</v>
      </c>
      <c r="P99" s="11" t="s">
        <v>174</v>
      </c>
      <c r="Q99" s="11" t="s">
        <v>34</v>
      </c>
      <c r="R99" s="1">
        <f>S99+T99</f>
        <v>3195221.02</v>
      </c>
      <c r="S99" s="30">
        <v>0</v>
      </c>
      <c r="T99" s="2">
        <v>3195221.02</v>
      </c>
      <c r="U99" s="1">
        <f>V99+W99</f>
        <v>718924.72</v>
      </c>
      <c r="V99" s="42">
        <v>0</v>
      </c>
      <c r="W99" s="28">
        <v>718924.72</v>
      </c>
      <c r="X99" s="1">
        <f>Y99+Z99</f>
        <v>79880.53</v>
      </c>
      <c r="Y99" s="30">
        <v>0</v>
      </c>
      <c r="Z99" s="2">
        <v>79880.53</v>
      </c>
      <c r="AA99" s="2">
        <f>AB99+AC99</f>
        <v>0</v>
      </c>
      <c r="AB99" s="2">
        <v>0</v>
      </c>
      <c r="AC99" s="2">
        <v>0</v>
      </c>
      <c r="AD99" s="16">
        <f t="shared" si="30"/>
        <v>3994026.27</v>
      </c>
      <c r="AE99" s="37">
        <v>0</v>
      </c>
      <c r="AF99" s="2">
        <f>AD99+AE99</f>
        <v>3994026.27</v>
      </c>
      <c r="AG99" s="38" t="s">
        <v>857</v>
      </c>
      <c r="AH99" s="38" t="s">
        <v>1775</v>
      </c>
      <c r="AI99" s="30">
        <f>246108.94+233815.2+738252.8+1728922.69</f>
        <v>2947099.63</v>
      </c>
      <c r="AJ99" s="30">
        <f>23472.39+31902.12+52608.42+166106.87+389007.6</f>
        <v>663097.39999999991</v>
      </c>
    </row>
    <row r="100" spans="1:36" ht="195.75" customHeight="1" x14ac:dyDescent="0.25">
      <c r="A100" s="6">
        <v>97</v>
      </c>
      <c r="B100" s="31">
        <v>128335</v>
      </c>
      <c r="C100" s="11">
        <v>634</v>
      </c>
      <c r="D100" s="9" t="s">
        <v>1638</v>
      </c>
      <c r="E100" s="24" t="s">
        <v>1116</v>
      </c>
      <c r="F100" s="27" t="s">
        <v>1138</v>
      </c>
      <c r="G100" s="11" t="s">
        <v>1648</v>
      </c>
      <c r="H100" s="8" t="s">
        <v>151</v>
      </c>
      <c r="I100" s="45" t="s">
        <v>2646</v>
      </c>
      <c r="J100" s="25">
        <v>43647</v>
      </c>
      <c r="K100" s="25">
        <v>44927</v>
      </c>
      <c r="L100" s="26">
        <f t="shared" ref="L100:L119" si="48">R100/AD100*100</f>
        <v>80.000000462501816</v>
      </c>
      <c r="M100" s="11">
        <v>8</v>
      </c>
      <c r="N100" s="11" t="s">
        <v>261</v>
      </c>
      <c r="O100" s="11" t="s">
        <v>261</v>
      </c>
      <c r="P100" s="11" t="s">
        <v>174</v>
      </c>
      <c r="Q100" s="11" t="s">
        <v>34</v>
      </c>
      <c r="R100" s="1">
        <f t="shared" ref="R100:R119" si="49">S100+T100</f>
        <v>3113501.33</v>
      </c>
      <c r="S100" s="30">
        <v>0</v>
      </c>
      <c r="T100" s="2">
        <v>3113501.33</v>
      </c>
      <c r="U100" s="1">
        <f t="shared" ref="U100:U129" si="50">V100+W100</f>
        <v>700537.76</v>
      </c>
      <c r="V100" s="42">
        <v>0</v>
      </c>
      <c r="W100" s="28">
        <v>700537.76</v>
      </c>
      <c r="X100" s="1">
        <f t="shared" ref="X100:X129" si="51">Y100+Z100</f>
        <v>77837.55</v>
      </c>
      <c r="Y100" s="30">
        <v>0</v>
      </c>
      <c r="Z100" s="2">
        <v>77837.55</v>
      </c>
      <c r="AA100" s="2">
        <v>0</v>
      </c>
      <c r="AB100" s="30">
        <v>0</v>
      </c>
      <c r="AC100" s="30">
        <v>0</v>
      </c>
      <c r="AD100" s="16">
        <f t="shared" si="30"/>
        <v>3891876.6399999997</v>
      </c>
      <c r="AE100" s="37">
        <v>0</v>
      </c>
      <c r="AF100" s="2">
        <f t="shared" ref="AF100:AF119" si="52">AD100+AE100</f>
        <v>3891876.6399999997</v>
      </c>
      <c r="AG100" s="38" t="s">
        <v>486</v>
      </c>
      <c r="AH100" s="38" t="s">
        <v>1936</v>
      </c>
      <c r="AI100" s="30">
        <f>55820.78+402496.8+116946.4+62282.4+67400.8+89127.2+569461.91</f>
        <v>1363536.29</v>
      </c>
      <c r="AJ100" s="30">
        <f>12559.67+90561.78+26312.94+14013.54+15165.18+20053.62+128128.92</f>
        <v>306795.64999999997</v>
      </c>
    </row>
    <row r="101" spans="1:36" ht="96.75" customHeight="1" x14ac:dyDescent="0.25">
      <c r="A101" s="6">
        <v>98</v>
      </c>
      <c r="B101" s="31">
        <v>129694</v>
      </c>
      <c r="C101" s="11">
        <v>694</v>
      </c>
      <c r="D101" s="9" t="s">
        <v>1638</v>
      </c>
      <c r="E101" s="24" t="s">
        <v>1116</v>
      </c>
      <c r="F101" s="27" t="s">
        <v>1119</v>
      </c>
      <c r="G101" s="11" t="s">
        <v>1649</v>
      </c>
      <c r="H101" s="11" t="s">
        <v>952</v>
      </c>
      <c r="I101" s="32" t="s">
        <v>1122</v>
      </c>
      <c r="J101" s="25">
        <v>43635</v>
      </c>
      <c r="K101" s="25">
        <v>44914</v>
      </c>
      <c r="L101" s="26">
        <f t="shared" si="48"/>
        <v>79.559234452662935</v>
      </c>
      <c r="M101" s="11">
        <v>8</v>
      </c>
      <c r="N101" s="11" t="s">
        <v>261</v>
      </c>
      <c r="O101" s="11" t="s">
        <v>261</v>
      </c>
      <c r="P101" s="11" t="s">
        <v>174</v>
      </c>
      <c r="Q101" s="11" t="s">
        <v>34</v>
      </c>
      <c r="R101" s="1">
        <f t="shared" si="49"/>
        <v>3495320.83</v>
      </c>
      <c r="S101" s="30">
        <v>0</v>
      </c>
      <c r="T101" s="2">
        <v>3495320.83</v>
      </c>
      <c r="U101" s="1">
        <f t="shared" si="50"/>
        <v>810168.58</v>
      </c>
      <c r="V101" s="42">
        <v>0</v>
      </c>
      <c r="W101" s="28">
        <v>810168.58</v>
      </c>
      <c r="X101" s="1">
        <f t="shared" si="51"/>
        <v>63661.63</v>
      </c>
      <c r="Y101" s="30">
        <v>0</v>
      </c>
      <c r="Z101" s="2">
        <v>63661.63</v>
      </c>
      <c r="AA101" s="2">
        <f t="shared" ref="AA101:AA116" si="53">AB101+AC101</f>
        <v>24205.5</v>
      </c>
      <c r="AB101" s="30">
        <v>0</v>
      </c>
      <c r="AC101" s="30">
        <v>24205.5</v>
      </c>
      <c r="AD101" s="16">
        <f t="shared" si="30"/>
        <v>4393356.54</v>
      </c>
      <c r="AE101" s="37">
        <v>0</v>
      </c>
      <c r="AF101" s="2">
        <f t="shared" si="52"/>
        <v>4393356.54</v>
      </c>
      <c r="AG101" s="38" t="s">
        <v>486</v>
      </c>
      <c r="AH101" s="38" t="s">
        <v>1797</v>
      </c>
      <c r="AI101" s="30">
        <f>275886.09+348793.51+185829.79+143853.56+131012.45+791608.64</f>
        <v>1876984.04</v>
      </c>
      <c r="AJ101" s="30">
        <f>37362.62+81124.65+44853.88+35420.78+32457.43+178111.94</f>
        <v>409331.3</v>
      </c>
    </row>
    <row r="102" spans="1:36" ht="216.75" customHeight="1" x14ac:dyDescent="0.25">
      <c r="A102" s="6">
        <v>99</v>
      </c>
      <c r="B102" s="31">
        <v>129016</v>
      </c>
      <c r="C102" s="11">
        <v>693</v>
      </c>
      <c r="D102" s="9" t="s">
        <v>1638</v>
      </c>
      <c r="E102" s="24" t="s">
        <v>1116</v>
      </c>
      <c r="F102" s="27" t="s">
        <v>1139</v>
      </c>
      <c r="G102" s="11" t="s">
        <v>924</v>
      </c>
      <c r="H102" s="8" t="s">
        <v>151</v>
      </c>
      <c r="I102" s="32" t="s">
        <v>2647</v>
      </c>
      <c r="J102" s="25">
        <v>43654</v>
      </c>
      <c r="K102" s="25">
        <v>44173</v>
      </c>
      <c r="L102" s="26">
        <f t="shared" si="48"/>
        <v>79.999998958694746</v>
      </c>
      <c r="M102" s="11">
        <v>8</v>
      </c>
      <c r="N102" s="11" t="s">
        <v>261</v>
      </c>
      <c r="O102" s="11" t="s">
        <v>261</v>
      </c>
      <c r="P102" s="11" t="s">
        <v>174</v>
      </c>
      <c r="Q102" s="11" t="s">
        <v>34</v>
      </c>
      <c r="R102" s="1">
        <f t="shared" si="49"/>
        <v>307306.62</v>
      </c>
      <c r="S102" s="30">
        <v>0</v>
      </c>
      <c r="T102" s="2">
        <v>307306.62</v>
      </c>
      <c r="U102" s="1">
        <f t="shared" si="50"/>
        <v>69143.95</v>
      </c>
      <c r="V102" s="42">
        <v>0</v>
      </c>
      <c r="W102" s="28">
        <v>69143.95</v>
      </c>
      <c r="X102" s="1">
        <f t="shared" si="51"/>
        <v>7682.71</v>
      </c>
      <c r="Y102" s="30">
        <v>0</v>
      </c>
      <c r="Z102" s="2">
        <v>7682.71</v>
      </c>
      <c r="AA102" s="2">
        <f t="shared" si="53"/>
        <v>0</v>
      </c>
      <c r="AB102" s="30">
        <v>0</v>
      </c>
      <c r="AC102" s="30">
        <v>0</v>
      </c>
      <c r="AD102" s="16">
        <f t="shared" si="30"/>
        <v>384133.28</v>
      </c>
      <c r="AE102" s="37">
        <v>0</v>
      </c>
      <c r="AF102" s="2">
        <f t="shared" si="52"/>
        <v>384133.28</v>
      </c>
      <c r="AG102" s="38" t="s">
        <v>857</v>
      </c>
      <c r="AH102" s="38" t="s">
        <v>1661</v>
      </c>
      <c r="AI102" s="30">
        <f>110102.97+161350.83</f>
        <v>271453.8</v>
      </c>
      <c r="AJ102" s="30">
        <f>24773.14+36303.93</f>
        <v>61077.07</v>
      </c>
    </row>
    <row r="103" spans="1:36" ht="216.75" customHeight="1" x14ac:dyDescent="0.25">
      <c r="A103" s="6">
        <v>100</v>
      </c>
      <c r="B103" s="31">
        <v>136166</v>
      </c>
      <c r="C103" s="11">
        <v>856</v>
      </c>
      <c r="D103" s="9" t="s">
        <v>1638</v>
      </c>
      <c r="E103" s="24" t="s">
        <v>1433</v>
      </c>
      <c r="F103" s="27" t="s">
        <v>1434</v>
      </c>
      <c r="G103" s="11" t="s">
        <v>1648</v>
      </c>
      <c r="H103" s="11" t="s">
        <v>1435</v>
      </c>
      <c r="I103" s="32" t="s">
        <v>2648</v>
      </c>
      <c r="J103" s="25">
        <v>43900</v>
      </c>
      <c r="K103" s="25">
        <v>44905</v>
      </c>
      <c r="L103" s="26">
        <f t="shared" si="48"/>
        <v>79.999999908763286</v>
      </c>
      <c r="M103" s="11">
        <v>8</v>
      </c>
      <c r="N103" s="11" t="s">
        <v>261</v>
      </c>
      <c r="O103" s="11" t="s">
        <v>261</v>
      </c>
      <c r="P103" s="11" t="s">
        <v>174</v>
      </c>
      <c r="Q103" s="11" t="s">
        <v>34</v>
      </c>
      <c r="R103" s="1">
        <f t="shared" si="49"/>
        <v>1753679.95</v>
      </c>
      <c r="S103" s="30">
        <v>0</v>
      </c>
      <c r="T103" s="2">
        <v>1753679.95</v>
      </c>
      <c r="U103" s="1">
        <f t="shared" si="50"/>
        <v>394577.99</v>
      </c>
      <c r="V103" s="42">
        <v>0</v>
      </c>
      <c r="W103" s="28">
        <v>394577.99</v>
      </c>
      <c r="X103" s="1">
        <f t="shared" si="51"/>
        <v>43842</v>
      </c>
      <c r="Y103" s="30">
        <v>0</v>
      </c>
      <c r="Z103" s="2">
        <v>43842</v>
      </c>
      <c r="AA103" s="2">
        <f t="shared" si="53"/>
        <v>0</v>
      </c>
      <c r="AB103" s="30">
        <v>0</v>
      </c>
      <c r="AC103" s="30">
        <v>0</v>
      </c>
      <c r="AD103" s="16">
        <f t="shared" si="30"/>
        <v>2192099.94</v>
      </c>
      <c r="AE103" s="37">
        <v>0</v>
      </c>
      <c r="AF103" s="2">
        <f t="shared" si="52"/>
        <v>2192099.94</v>
      </c>
      <c r="AG103" s="38" t="s">
        <v>486</v>
      </c>
      <c r="AH103" s="38" t="s">
        <v>1787</v>
      </c>
      <c r="AI103" s="30">
        <f>37692.8+172704.72+90248.8+90319.2</f>
        <v>390965.52</v>
      </c>
      <c r="AJ103" s="30">
        <f>8480.88+38858.56+20305.98+20321.82</f>
        <v>87967.239999999991</v>
      </c>
    </row>
    <row r="104" spans="1:36" ht="216.75" customHeight="1" x14ac:dyDescent="0.25">
      <c r="A104" s="6">
        <v>101</v>
      </c>
      <c r="B104" s="31">
        <v>135779</v>
      </c>
      <c r="C104" s="11">
        <v>780</v>
      </c>
      <c r="D104" s="9" t="s">
        <v>1638</v>
      </c>
      <c r="E104" s="24" t="s">
        <v>1433</v>
      </c>
      <c r="F104" s="27" t="s">
        <v>1436</v>
      </c>
      <c r="G104" s="11" t="s">
        <v>1649</v>
      </c>
      <c r="H104" s="11" t="s">
        <v>1437</v>
      </c>
      <c r="I104" s="32" t="s">
        <v>2649</v>
      </c>
      <c r="J104" s="25">
        <v>43901</v>
      </c>
      <c r="K104" s="25">
        <v>44996</v>
      </c>
      <c r="L104" s="26">
        <f t="shared" si="48"/>
        <v>80.000000203403673</v>
      </c>
      <c r="M104" s="11">
        <v>8</v>
      </c>
      <c r="N104" s="11" t="s">
        <v>261</v>
      </c>
      <c r="O104" s="11" t="s">
        <v>261</v>
      </c>
      <c r="P104" s="11" t="s">
        <v>174</v>
      </c>
      <c r="Q104" s="11" t="s">
        <v>34</v>
      </c>
      <c r="R104" s="1">
        <f t="shared" si="49"/>
        <v>2359839.4300000002</v>
      </c>
      <c r="S104" s="30">
        <v>0</v>
      </c>
      <c r="T104" s="2">
        <v>2359839.4300000002</v>
      </c>
      <c r="U104" s="1">
        <f t="shared" si="50"/>
        <v>530963.84</v>
      </c>
      <c r="V104" s="42">
        <v>0</v>
      </c>
      <c r="W104" s="28">
        <v>530963.84</v>
      </c>
      <c r="X104" s="1">
        <f t="shared" si="51"/>
        <v>58996.01</v>
      </c>
      <c r="Y104" s="30">
        <v>0</v>
      </c>
      <c r="Z104" s="2">
        <v>58996.01</v>
      </c>
      <c r="AA104" s="2">
        <f t="shared" si="53"/>
        <v>0</v>
      </c>
      <c r="AB104" s="30">
        <v>0</v>
      </c>
      <c r="AC104" s="30">
        <v>0</v>
      </c>
      <c r="AD104" s="16">
        <f t="shared" si="30"/>
        <v>2949799.28</v>
      </c>
      <c r="AE104" s="37"/>
      <c r="AF104" s="2">
        <f t="shared" si="52"/>
        <v>2949799.28</v>
      </c>
      <c r="AG104" s="38" t="s">
        <v>486</v>
      </c>
      <c r="AH104" s="38" t="s">
        <v>2005</v>
      </c>
      <c r="AI104" s="30">
        <f>46438.4+37616+39314.4+26630.4+29051.2+304784.02</f>
        <v>483834.42000000004</v>
      </c>
      <c r="AJ104" s="30">
        <f>10448.64+8463.6+8845.74+5991.84+6536.52+68576.4</f>
        <v>108862.73999999999</v>
      </c>
    </row>
    <row r="105" spans="1:36" ht="141.75" x14ac:dyDescent="0.25">
      <c r="A105" s="6">
        <v>102</v>
      </c>
      <c r="B105" s="31">
        <v>151983</v>
      </c>
      <c r="C105" s="11">
        <v>1150</v>
      </c>
      <c r="D105" s="9" t="s">
        <v>1639</v>
      </c>
      <c r="E105" s="24" t="s">
        <v>1988</v>
      </c>
      <c r="F105" s="27" t="s">
        <v>1989</v>
      </c>
      <c r="G105" s="11" t="s">
        <v>1987</v>
      </c>
      <c r="H105" s="8" t="s">
        <v>151</v>
      </c>
      <c r="I105" s="32" t="s">
        <v>2618</v>
      </c>
      <c r="J105" s="25">
        <v>44603</v>
      </c>
      <c r="K105" s="25">
        <v>44968</v>
      </c>
      <c r="L105" s="26">
        <f t="shared" si="48"/>
        <v>80</v>
      </c>
      <c r="M105" s="11">
        <v>8</v>
      </c>
      <c r="N105" s="11" t="s">
        <v>261</v>
      </c>
      <c r="O105" s="11" t="s">
        <v>261</v>
      </c>
      <c r="P105" s="11" t="s">
        <v>174</v>
      </c>
      <c r="Q105" s="11" t="s">
        <v>34</v>
      </c>
      <c r="R105" s="1">
        <f t="shared" si="49"/>
        <v>331867.2</v>
      </c>
      <c r="S105" s="30">
        <v>0</v>
      </c>
      <c r="T105" s="2">
        <v>331867.2</v>
      </c>
      <c r="U105" s="1">
        <f t="shared" si="50"/>
        <v>74670.12</v>
      </c>
      <c r="V105" s="42">
        <v>0</v>
      </c>
      <c r="W105" s="28">
        <v>74670.12</v>
      </c>
      <c r="X105" s="1">
        <f t="shared" si="51"/>
        <v>8296.68</v>
      </c>
      <c r="Y105" s="30">
        <v>0</v>
      </c>
      <c r="Z105" s="2">
        <v>8296.68</v>
      </c>
      <c r="AA105" s="2">
        <f t="shared" si="53"/>
        <v>0</v>
      </c>
      <c r="AB105" s="30">
        <v>0</v>
      </c>
      <c r="AC105" s="30">
        <v>0</v>
      </c>
      <c r="AD105" s="16">
        <f t="shared" si="30"/>
        <v>414834</v>
      </c>
      <c r="AE105" s="37">
        <v>0</v>
      </c>
      <c r="AF105" s="2">
        <f t="shared" si="52"/>
        <v>414834</v>
      </c>
      <c r="AG105" s="38" t="s">
        <v>486</v>
      </c>
      <c r="AH105" s="35"/>
      <c r="AI105" s="30">
        <v>118163.2</v>
      </c>
      <c r="AJ105" s="30">
        <v>26586.720000000001</v>
      </c>
    </row>
    <row r="106" spans="1:36" ht="220.5" x14ac:dyDescent="0.25">
      <c r="A106" s="6">
        <v>103</v>
      </c>
      <c r="B106" s="31">
        <v>152134</v>
      </c>
      <c r="C106" s="11">
        <v>1151</v>
      </c>
      <c r="D106" s="9" t="s">
        <v>1639</v>
      </c>
      <c r="E106" s="24" t="s">
        <v>1988</v>
      </c>
      <c r="F106" s="27" t="s">
        <v>2006</v>
      </c>
      <c r="G106" s="11" t="s">
        <v>1648</v>
      </c>
      <c r="H106" s="11" t="s">
        <v>2000</v>
      </c>
      <c r="I106" s="32" t="s">
        <v>2650</v>
      </c>
      <c r="J106" s="25">
        <v>44629</v>
      </c>
      <c r="K106" s="25">
        <v>45086</v>
      </c>
      <c r="L106" s="26">
        <f t="shared" si="48"/>
        <v>80.000002791539686</v>
      </c>
      <c r="M106" s="11">
        <v>8</v>
      </c>
      <c r="N106" s="11" t="s">
        <v>261</v>
      </c>
      <c r="O106" s="11" t="s">
        <v>261</v>
      </c>
      <c r="P106" s="11" t="s">
        <v>174</v>
      </c>
      <c r="Q106" s="11" t="s">
        <v>34</v>
      </c>
      <c r="R106" s="1">
        <f t="shared" si="49"/>
        <v>286580.21000000002</v>
      </c>
      <c r="S106" s="30">
        <v>0</v>
      </c>
      <c r="T106" s="2">
        <v>286580.21000000002</v>
      </c>
      <c r="U106" s="1">
        <f t="shared" si="50"/>
        <v>48488.800000000003</v>
      </c>
      <c r="V106" s="42">
        <v>0</v>
      </c>
      <c r="W106" s="28">
        <v>48488.800000000003</v>
      </c>
      <c r="X106" s="1">
        <f t="shared" si="51"/>
        <v>23156.240000000002</v>
      </c>
      <c r="Y106" s="30">
        <v>0</v>
      </c>
      <c r="Z106" s="2">
        <v>23156.240000000002</v>
      </c>
      <c r="AA106" s="2">
        <f t="shared" si="53"/>
        <v>0</v>
      </c>
      <c r="AB106" s="30">
        <v>0</v>
      </c>
      <c r="AC106" s="30">
        <v>0</v>
      </c>
      <c r="AD106" s="16">
        <f t="shared" si="30"/>
        <v>358225.25</v>
      </c>
      <c r="AE106" s="37">
        <v>0</v>
      </c>
      <c r="AF106" s="2">
        <f t="shared" si="52"/>
        <v>358225.25</v>
      </c>
      <c r="AG106" s="38" t="s">
        <v>486</v>
      </c>
      <c r="AH106" s="35"/>
      <c r="AI106" s="30">
        <v>0</v>
      </c>
      <c r="AJ106" s="30">
        <v>0</v>
      </c>
    </row>
    <row r="107" spans="1:36" ht="204.75" x14ac:dyDescent="0.25">
      <c r="A107" s="6">
        <v>104</v>
      </c>
      <c r="B107" s="31">
        <v>151706</v>
      </c>
      <c r="C107" s="11">
        <v>1153</v>
      </c>
      <c r="D107" s="9" t="s">
        <v>1639</v>
      </c>
      <c r="E107" s="24" t="s">
        <v>1988</v>
      </c>
      <c r="F107" s="27" t="s">
        <v>2007</v>
      </c>
      <c r="G107" s="11" t="s">
        <v>1649</v>
      </c>
      <c r="H107" s="11" t="s">
        <v>2000</v>
      </c>
      <c r="I107" s="32" t="s">
        <v>2651</v>
      </c>
      <c r="J107" s="25">
        <v>44624</v>
      </c>
      <c r="K107" s="25">
        <v>44992</v>
      </c>
      <c r="L107" s="26">
        <f t="shared" si="48"/>
        <v>80.000005070174709</v>
      </c>
      <c r="M107" s="11">
        <v>8</v>
      </c>
      <c r="N107" s="11" t="s">
        <v>261</v>
      </c>
      <c r="O107" s="11" t="s">
        <v>261</v>
      </c>
      <c r="P107" s="11" t="s">
        <v>174</v>
      </c>
      <c r="Q107" s="11" t="s">
        <v>34</v>
      </c>
      <c r="R107" s="1">
        <f t="shared" si="49"/>
        <v>252456.8</v>
      </c>
      <c r="S107" s="30">
        <v>0</v>
      </c>
      <c r="T107" s="2">
        <v>252456.8</v>
      </c>
      <c r="U107" s="1">
        <f t="shared" si="50"/>
        <v>39376.800000000003</v>
      </c>
      <c r="V107" s="42">
        <v>0</v>
      </c>
      <c r="W107" s="28">
        <v>39376.800000000003</v>
      </c>
      <c r="X107" s="1">
        <f t="shared" si="51"/>
        <v>23737.38</v>
      </c>
      <c r="Y107" s="30">
        <v>0</v>
      </c>
      <c r="Z107" s="2">
        <v>23737.38</v>
      </c>
      <c r="AA107" s="2">
        <f t="shared" si="53"/>
        <v>0</v>
      </c>
      <c r="AB107" s="30">
        <v>0</v>
      </c>
      <c r="AC107" s="30">
        <v>0</v>
      </c>
      <c r="AD107" s="16">
        <f t="shared" si="30"/>
        <v>315570.98</v>
      </c>
      <c r="AE107" s="37">
        <v>0</v>
      </c>
      <c r="AF107" s="2">
        <f t="shared" si="52"/>
        <v>315570.98</v>
      </c>
      <c r="AG107" s="38" t="s">
        <v>486</v>
      </c>
      <c r="AH107" s="35"/>
      <c r="AI107" s="30">
        <v>0</v>
      </c>
      <c r="AJ107" s="30">
        <v>0</v>
      </c>
    </row>
    <row r="108" spans="1:36" ht="236.25" x14ac:dyDescent="0.25">
      <c r="A108" s="6">
        <v>105</v>
      </c>
      <c r="B108" s="31">
        <v>151808</v>
      </c>
      <c r="C108" s="11">
        <v>1154</v>
      </c>
      <c r="D108" s="9" t="s">
        <v>1639</v>
      </c>
      <c r="E108" s="24" t="s">
        <v>1988</v>
      </c>
      <c r="F108" s="27" t="s">
        <v>2066</v>
      </c>
      <c r="G108" s="11" t="s">
        <v>2065</v>
      </c>
      <c r="H108" s="8" t="s">
        <v>151</v>
      </c>
      <c r="I108" s="32" t="s">
        <v>2652</v>
      </c>
      <c r="J108" s="25">
        <v>44655</v>
      </c>
      <c r="K108" s="25">
        <v>45020</v>
      </c>
      <c r="L108" s="26">
        <f t="shared" si="48"/>
        <v>80</v>
      </c>
      <c r="M108" s="11">
        <v>8</v>
      </c>
      <c r="N108" s="11" t="s">
        <v>261</v>
      </c>
      <c r="O108" s="11" t="s">
        <v>261</v>
      </c>
      <c r="P108" s="11" t="s">
        <v>174</v>
      </c>
      <c r="Q108" s="11" t="s">
        <v>34</v>
      </c>
      <c r="R108" s="1">
        <f t="shared" si="49"/>
        <v>298498.71999999997</v>
      </c>
      <c r="S108" s="30">
        <v>0</v>
      </c>
      <c r="T108" s="2">
        <v>298498.71999999997</v>
      </c>
      <c r="U108" s="1">
        <f t="shared" si="50"/>
        <v>67162.210000000006</v>
      </c>
      <c r="V108" s="42">
        <v>0</v>
      </c>
      <c r="W108" s="28">
        <v>67162.210000000006</v>
      </c>
      <c r="X108" s="1">
        <f t="shared" si="51"/>
        <v>7462.47</v>
      </c>
      <c r="Y108" s="30">
        <v>0</v>
      </c>
      <c r="Z108" s="2">
        <v>7462.47</v>
      </c>
      <c r="AA108" s="2">
        <f t="shared" si="53"/>
        <v>0</v>
      </c>
      <c r="AB108" s="30">
        <v>0</v>
      </c>
      <c r="AC108" s="30">
        <v>0</v>
      </c>
      <c r="AD108" s="16">
        <f t="shared" si="30"/>
        <v>373123.39999999997</v>
      </c>
      <c r="AE108" s="37">
        <v>0</v>
      </c>
      <c r="AF108" s="2">
        <f t="shared" si="52"/>
        <v>373123.39999999997</v>
      </c>
      <c r="AG108" s="38" t="s">
        <v>486</v>
      </c>
      <c r="AH108" s="35"/>
      <c r="AI108" s="30">
        <v>0</v>
      </c>
      <c r="AJ108" s="30">
        <v>0</v>
      </c>
    </row>
    <row r="109" spans="1:36" ht="141.75" x14ac:dyDescent="0.25">
      <c r="A109" s="6">
        <v>106</v>
      </c>
      <c r="B109" s="31">
        <v>153535</v>
      </c>
      <c r="C109" s="11">
        <v>1257</v>
      </c>
      <c r="D109" s="9" t="s">
        <v>1638</v>
      </c>
      <c r="E109" s="24" t="s">
        <v>2104</v>
      </c>
      <c r="F109" s="27" t="s">
        <v>2102</v>
      </c>
      <c r="G109" s="11" t="s">
        <v>2101</v>
      </c>
      <c r="H109" s="11" t="s">
        <v>2103</v>
      </c>
      <c r="I109" s="32" t="s">
        <v>2653</v>
      </c>
      <c r="J109" s="25">
        <v>44656</v>
      </c>
      <c r="K109" s="25">
        <v>45143</v>
      </c>
      <c r="L109" s="26">
        <f t="shared" si="48"/>
        <v>79.999999666177686</v>
      </c>
      <c r="M109" s="11">
        <v>8</v>
      </c>
      <c r="N109" s="11" t="s">
        <v>261</v>
      </c>
      <c r="O109" s="11" t="s">
        <v>261</v>
      </c>
      <c r="P109" s="11" t="s">
        <v>174</v>
      </c>
      <c r="Q109" s="11" t="s">
        <v>34</v>
      </c>
      <c r="R109" s="1">
        <f t="shared" si="49"/>
        <v>2396484.59</v>
      </c>
      <c r="S109" s="30">
        <v>0</v>
      </c>
      <c r="T109" s="2">
        <v>2396484.59</v>
      </c>
      <c r="U109" s="1">
        <f t="shared" si="50"/>
        <v>539209.04</v>
      </c>
      <c r="V109" s="42">
        <v>0</v>
      </c>
      <c r="W109" s="28">
        <v>539209.04</v>
      </c>
      <c r="X109" s="1">
        <f t="shared" si="51"/>
        <v>59912.12</v>
      </c>
      <c r="Y109" s="30">
        <v>0</v>
      </c>
      <c r="Z109" s="2">
        <v>59912.12</v>
      </c>
      <c r="AA109" s="2">
        <f t="shared" si="53"/>
        <v>0</v>
      </c>
      <c r="AB109" s="30">
        <v>0</v>
      </c>
      <c r="AC109" s="30">
        <v>0</v>
      </c>
      <c r="AD109" s="16">
        <f t="shared" si="30"/>
        <v>2995605.75</v>
      </c>
      <c r="AE109" s="37">
        <v>0</v>
      </c>
      <c r="AF109" s="2">
        <f t="shared" si="52"/>
        <v>2995605.75</v>
      </c>
      <c r="AG109" s="38" t="s">
        <v>486</v>
      </c>
      <c r="AH109" s="35"/>
      <c r="AI109" s="30">
        <v>0</v>
      </c>
      <c r="AJ109" s="30">
        <v>0</v>
      </c>
    </row>
    <row r="110" spans="1:36" ht="173.25" x14ac:dyDescent="0.25">
      <c r="A110" s="6">
        <v>107</v>
      </c>
      <c r="B110" s="31">
        <v>154822</v>
      </c>
      <c r="C110" s="11">
        <v>1255</v>
      </c>
      <c r="D110" s="9" t="s">
        <v>1638</v>
      </c>
      <c r="E110" s="24" t="s">
        <v>2104</v>
      </c>
      <c r="F110" s="27" t="s">
        <v>2158</v>
      </c>
      <c r="G110" s="11" t="s">
        <v>2157</v>
      </c>
      <c r="H110" s="11" t="s">
        <v>2159</v>
      </c>
      <c r="I110" s="32" t="s">
        <v>2654</v>
      </c>
      <c r="J110" s="25">
        <v>44670</v>
      </c>
      <c r="K110" s="25">
        <v>45157</v>
      </c>
      <c r="L110" s="26">
        <f t="shared" si="48"/>
        <v>80.000000134079045</v>
      </c>
      <c r="M110" s="11">
        <v>8</v>
      </c>
      <c r="N110" s="11" t="s">
        <v>261</v>
      </c>
      <c r="O110" s="11" t="s">
        <v>261</v>
      </c>
      <c r="P110" s="11" t="s">
        <v>174</v>
      </c>
      <c r="Q110" s="11" t="s">
        <v>34</v>
      </c>
      <c r="R110" s="1">
        <f t="shared" si="49"/>
        <v>2386652.1800000002</v>
      </c>
      <c r="S110" s="30">
        <v>0</v>
      </c>
      <c r="T110" s="2">
        <v>2386652.1800000002</v>
      </c>
      <c r="U110" s="1">
        <f t="shared" si="50"/>
        <v>536996.74</v>
      </c>
      <c r="V110" s="42">
        <v>0</v>
      </c>
      <c r="W110" s="28">
        <v>536996.74</v>
      </c>
      <c r="X110" s="1">
        <f t="shared" si="51"/>
        <v>59666.3</v>
      </c>
      <c r="Y110" s="30">
        <v>0</v>
      </c>
      <c r="Z110" s="2">
        <v>59666.3</v>
      </c>
      <c r="AA110" s="2">
        <f t="shared" si="53"/>
        <v>0</v>
      </c>
      <c r="AB110" s="30">
        <v>0</v>
      </c>
      <c r="AC110" s="30">
        <v>0</v>
      </c>
      <c r="AD110" s="16">
        <f t="shared" si="30"/>
        <v>2983315.2199999997</v>
      </c>
      <c r="AE110" s="37">
        <v>0</v>
      </c>
      <c r="AF110" s="2">
        <f t="shared" si="52"/>
        <v>2983315.2199999997</v>
      </c>
      <c r="AG110" s="38" t="s">
        <v>486</v>
      </c>
      <c r="AH110" s="35"/>
      <c r="AI110" s="30">
        <v>84241.52</v>
      </c>
      <c r="AJ110" s="30">
        <v>0</v>
      </c>
    </row>
    <row r="111" spans="1:36" ht="204.75" x14ac:dyDescent="0.25">
      <c r="A111" s="6">
        <v>108</v>
      </c>
      <c r="B111" s="31">
        <v>154777</v>
      </c>
      <c r="C111" s="11">
        <v>1256</v>
      </c>
      <c r="D111" s="9" t="s">
        <v>1638</v>
      </c>
      <c r="E111" s="24" t="s">
        <v>2104</v>
      </c>
      <c r="F111" s="27" t="s">
        <v>2161</v>
      </c>
      <c r="G111" s="11" t="s">
        <v>2160</v>
      </c>
      <c r="H111" s="8" t="s">
        <v>151</v>
      </c>
      <c r="I111" s="32" t="s">
        <v>2655</v>
      </c>
      <c r="J111" s="25">
        <v>44669</v>
      </c>
      <c r="K111" s="25">
        <v>45125</v>
      </c>
      <c r="L111" s="26">
        <f t="shared" si="48"/>
        <v>80</v>
      </c>
      <c r="M111" s="11">
        <v>8</v>
      </c>
      <c r="N111" s="11" t="s">
        <v>261</v>
      </c>
      <c r="O111" s="11" t="s">
        <v>261</v>
      </c>
      <c r="P111" s="11" t="s">
        <v>174</v>
      </c>
      <c r="Q111" s="11" t="s">
        <v>34</v>
      </c>
      <c r="R111" s="1">
        <f t="shared" si="49"/>
        <v>275906</v>
      </c>
      <c r="S111" s="30">
        <v>0</v>
      </c>
      <c r="T111" s="2">
        <v>275906</v>
      </c>
      <c r="U111" s="1">
        <f t="shared" si="50"/>
        <v>62078.85</v>
      </c>
      <c r="V111" s="42">
        <v>0</v>
      </c>
      <c r="W111" s="28">
        <v>62078.85</v>
      </c>
      <c r="X111" s="1">
        <f t="shared" si="51"/>
        <v>6897.65</v>
      </c>
      <c r="Y111" s="30">
        <v>0</v>
      </c>
      <c r="Z111" s="2">
        <v>6897.65</v>
      </c>
      <c r="AA111" s="2">
        <f t="shared" si="53"/>
        <v>0</v>
      </c>
      <c r="AB111" s="30">
        <v>0</v>
      </c>
      <c r="AC111" s="30">
        <v>0</v>
      </c>
      <c r="AD111" s="16">
        <f t="shared" si="30"/>
        <v>344882.5</v>
      </c>
      <c r="AE111" s="37">
        <v>0</v>
      </c>
      <c r="AF111" s="2">
        <f t="shared" si="52"/>
        <v>344882.5</v>
      </c>
      <c r="AG111" s="38" t="s">
        <v>486</v>
      </c>
      <c r="AH111" s="35"/>
      <c r="AI111" s="30">
        <v>0</v>
      </c>
      <c r="AJ111" s="30">
        <v>0</v>
      </c>
    </row>
    <row r="112" spans="1:36" ht="189" x14ac:dyDescent="0.25">
      <c r="A112" s="6">
        <v>109</v>
      </c>
      <c r="B112" s="31">
        <v>153912</v>
      </c>
      <c r="C112" s="11">
        <v>1259</v>
      </c>
      <c r="D112" s="9" t="s">
        <v>1638</v>
      </c>
      <c r="E112" s="24" t="s">
        <v>2104</v>
      </c>
      <c r="F112" s="27" t="s">
        <v>2166</v>
      </c>
      <c r="G112" s="11" t="s">
        <v>2165</v>
      </c>
      <c r="H112" s="8" t="s">
        <v>151</v>
      </c>
      <c r="I112" s="32" t="s">
        <v>2656</v>
      </c>
      <c r="J112" s="25">
        <v>44671</v>
      </c>
      <c r="K112" s="25">
        <v>45158</v>
      </c>
      <c r="L112" s="26">
        <f t="shared" si="48"/>
        <v>79.999999930954957</v>
      </c>
      <c r="M112" s="11">
        <v>8</v>
      </c>
      <c r="N112" s="11" t="s">
        <v>261</v>
      </c>
      <c r="O112" s="11" t="s">
        <v>261</v>
      </c>
      <c r="P112" s="11" t="s">
        <v>174</v>
      </c>
      <c r="Q112" s="11" t="s">
        <v>34</v>
      </c>
      <c r="R112" s="1">
        <f t="shared" si="49"/>
        <v>2317327.9500000002</v>
      </c>
      <c r="S112" s="30">
        <v>0</v>
      </c>
      <c r="T112" s="2">
        <v>2317327.9500000002</v>
      </c>
      <c r="U112" s="1">
        <f t="shared" si="50"/>
        <v>521398.79</v>
      </c>
      <c r="V112" s="42">
        <v>0</v>
      </c>
      <c r="W112" s="28">
        <v>521398.79</v>
      </c>
      <c r="X112" s="1">
        <f t="shared" si="51"/>
        <v>57933.2</v>
      </c>
      <c r="Y112" s="30">
        <v>0</v>
      </c>
      <c r="Z112" s="2">
        <v>57933.2</v>
      </c>
      <c r="AA112" s="2">
        <f t="shared" si="53"/>
        <v>0</v>
      </c>
      <c r="AB112" s="30">
        <v>0</v>
      </c>
      <c r="AC112" s="30">
        <v>0</v>
      </c>
      <c r="AD112" s="16">
        <f t="shared" si="30"/>
        <v>2896659.9400000004</v>
      </c>
      <c r="AE112" s="37">
        <v>0</v>
      </c>
      <c r="AF112" s="2">
        <f t="shared" si="52"/>
        <v>2896659.9400000004</v>
      </c>
      <c r="AG112" s="38" t="s">
        <v>486</v>
      </c>
      <c r="AH112" s="35"/>
      <c r="AI112" s="30">
        <v>0</v>
      </c>
      <c r="AJ112" s="30">
        <v>0</v>
      </c>
    </row>
    <row r="113" spans="1:36" ht="189" x14ac:dyDescent="0.25">
      <c r="A113" s="6">
        <v>110</v>
      </c>
      <c r="B113" s="31">
        <v>152154</v>
      </c>
      <c r="C113" s="11">
        <v>1152</v>
      </c>
      <c r="D113" s="9" t="s">
        <v>1639</v>
      </c>
      <c r="E113" s="24" t="s">
        <v>1988</v>
      </c>
      <c r="F113" s="27" t="s">
        <v>2241</v>
      </c>
      <c r="G113" s="11" t="s">
        <v>2240</v>
      </c>
      <c r="H113" s="11" t="s">
        <v>2000</v>
      </c>
      <c r="I113" s="32" t="s">
        <v>2242</v>
      </c>
      <c r="J113" s="25">
        <v>44721</v>
      </c>
      <c r="K113" s="25">
        <v>45208</v>
      </c>
      <c r="L113" s="26">
        <f t="shared" si="48"/>
        <v>79.99999921375796</v>
      </c>
      <c r="M113" s="11">
        <v>8</v>
      </c>
      <c r="N113" s="11" t="s">
        <v>261</v>
      </c>
      <c r="O113" s="11" t="s">
        <v>261</v>
      </c>
      <c r="P113" s="11" t="s">
        <v>174</v>
      </c>
      <c r="Q113" s="11" t="s">
        <v>34</v>
      </c>
      <c r="R113" s="1">
        <f t="shared" si="49"/>
        <v>203499.67</v>
      </c>
      <c r="S113" s="30">
        <v>0</v>
      </c>
      <c r="T113" s="2">
        <v>203499.67</v>
      </c>
      <c r="U113" s="1">
        <f t="shared" si="50"/>
        <v>26305.93</v>
      </c>
      <c r="V113" s="42">
        <v>0</v>
      </c>
      <c r="W113" s="28">
        <v>26305.93</v>
      </c>
      <c r="X113" s="1">
        <f t="shared" si="51"/>
        <v>24568.99</v>
      </c>
      <c r="Y113" s="30">
        <v>0</v>
      </c>
      <c r="Z113" s="2">
        <v>24568.99</v>
      </c>
      <c r="AA113" s="2">
        <f t="shared" si="53"/>
        <v>0</v>
      </c>
      <c r="AB113" s="30">
        <v>0</v>
      </c>
      <c r="AC113" s="30">
        <v>0</v>
      </c>
      <c r="AD113" s="16">
        <f t="shared" si="30"/>
        <v>254374.59</v>
      </c>
      <c r="AE113" s="37">
        <v>47524</v>
      </c>
      <c r="AF113" s="2">
        <f t="shared" si="52"/>
        <v>301898.58999999997</v>
      </c>
      <c r="AG113" s="38" t="s">
        <v>486</v>
      </c>
      <c r="AH113" s="35"/>
      <c r="AI113" s="30">
        <v>0</v>
      </c>
      <c r="AJ113" s="30">
        <v>0</v>
      </c>
    </row>
    <row r="114" spans="1:36" ht="189" x14ac:dyDescent="0.25">
      <c r="A114" s="6">
        <v>111</v>
      </c>
      <c r="B114" s="31">
        <v>155113</v>
      </c>
      <c r="C114" s="11">
        <v>1260</v>
      </c>
      <c r="D114" s="9" t="s">
        <v>1638</v>
      </c>
      <c r="E114" s="24" t="s">
        <v>2104</v>
      </c>
      <c r="F114" s="27" t="s">
        <v>2591</v>
      </c>
      <c r="G114" s="11" t="s">
        <v>2240</v>
      </c>
      <c r="H114" s="11" t="s">
        <v>2592</v>
      </c>
      <c r="I114" s="32" t="s">
        <v>2593</v>
      </c>
      <c r="J114" s="25">
        <v>44777</v>
      </c>
      <c r="K114" s="25">
        <v>45264</v>
      </c>
      <c r="L114" s="26">
        <f t="shared" si="48"/>
        <v>79.891646383593979</v>
      </c>
      <c r="M114" s="11">
        <v>8</v>
      </c>
      <c r="N114" s="11" t="s">
        <v>261</v>
      </c>
      <c r="O114" s="11" t="s">
        <v>261</v>
      </c>
      <c r="P114" s="11" t="s">
        <v>174</v>
      </c>
      <c r="Q114" s="11" t="s">
        <v>34</v>
      </c>
      <c r="R114" s="1">
        <f t="shared" si="49"/>
        <v>3185531.6</v>
      </c>
      <c r="S114" s="30">
        <v>0</v>
      </c>
      <c r="T114" s="2">
        <v>3185531.6</v>
      </c>
      <c r="U114" s="1">
        <f t="shared" si="50"/>
        <v>722037.1</v>
      </c>
      <c r="V114" s="42">
        <v>0</v>
      </c>
      <c r="W114" s="28">
        <v>722037.1</v>
      </c>
      <c r="X114" s="1">
        <f t="shared" si="51"/>
        <v>74345.8</v>
      </c>
      <c r="Y114" s="30">
        <v>0</v>
      </c>
      <c r="Z114" s="2">
        <v>74345.8</v>
      </c>
      <c r="AA114" s="2">
        <f t="shared" si="53"/>
        <v>5400.5</v>
      </c>
      <c r="AB114" s="30">
        <v>0</v>
      </c>
      <c r="AC114" s="30">
        <v>5400.5</v>
      </c>
      <c r="AD114" s="16">
        <f t="shared" si="30"/>
        <v>3987315</v>
      </c>
      <c r="AE114" s="37">
        <v>437000</v>
      </c>
      <c r="AF114" s="2">
        <f t="shared" si="52"/>
        <v>4424315</v>
      </c>
      <c r="AG114" s="38" t="s">
        <v>486</v>
      </c>
      <c r="AH114" s="35"/>
      <c r="AI114" s="30">
        <v>0</v>
      </c>
      <c r="AJ114" s="30">
        <v>0</v>
      </c>
    </row>
    <row r="115" spans="1:36" ht="189" x14ac:dyDescent="0.25">
      <c r="A115" s="6">
        <v>112</v>
      </c>
      <c r="B115" s="31">
        <v>155864</v>
      </c>
      <c r="C115" s="11">
        <v>1264</v>
      </c>
      <c r="D115" s="9" t="s">
        <v>1638</v>
      </c>
      <c r="E115" s="24" t="s">
        <v>2594</v>
      </c>
      <c r="F115" s="27" t="s">
        <v>2596</v>
      </c>
      <c r="G115" s="11" t="s">
        <v>2595</v>
      </c>
      <c r="H115" s="8" t="s">
        <v>151</v>
      </c>
      <c r="I115" s="32" t="s">
        <v>2657</v>
      </c>
      <c r="J115" s="25">
        <v>44775</v>
      </c>
      <c r="K115" s="25">
        <v>45140</v>
      </c>
      <c r="L115" s="26">
        <f t="shared" si="48"/>
        <v>80</v>
      </c>
      <c r="M115" s="11">
        <v>8</v>
      </c>
      <c r="N115" s="11" t="s">
        <v>261</v>
      </c>
      <c r="O115" s="11" t="s">
        <v>261</v>
      </c>
      <c r="P115" s="11" t="s">
        <v>174</v>
      </c>
      <c r="Q115" s="11" t="s">
        <v>34</v>
      </c>
      <c r="R115" s="1">
        <f t="shared" si="49"/>
        <v>2380761.6</v>
      </c>
      <c r="S115" s="30">
        <v>0</v>
      </c>
      <c r="T115" s="2">
        <v>2380761.6</v>
      </c>
      <c r="U115" s="1">
        <f t="shared" si="50"/>
        <v>535671.36</v>
      </c>
      <c r="V115" s="42">
        <v>0</v>
      </c>
      <c r="W115" s="28">
        <v>535671.36</v>
      </c>
      <c r="X115" s="1">
        <f t="shared" si="51"/>
        <v>59519.040000000001</v>
      </c>
      <c r="Y115" s="30">
        <v>0</v>
      </c>
      <c r="Z115" s="2">
        <v>59519.040000000001</v>
      </c>
      <c r="AA115" s="2">
        <f t="shared" si="53"/>
        <v>0</v>
      </c>
      <c r="AB115" s="30">
        <v>0</v>
      </c>
      <c r="AC115" s="30">
        <v>0</v>
      </c>
      <c r="AD115" s="16">
        <f t="shared" si="30"/>
        <v>2975952</v>
      </c>
      <c r="AE115" s="37">
        <v>0</v>
      </c>
      <c r="AF115" s="2">
        <f t="shared" si="52"/>
        <v>2975952</v>
      </c>
      <c r="AG115" s="38" t="s">
        <v>486</v>
      </c>
      <c r="AH115" s="35"/>
      <c r="AI115" s="30">
        <v>0</v>
      </c>
      <c r="AJ115" s="30">
        <v>0</v>
      </c>
    </row>
    <row r="116" spans="1:36" ht="315" x14ac:dyDescent="0.25">
      <c r="A116" s="6">
        <v>113</v>
      </c>
      <c r="B116" s="31">
        <v>155749</v>
      </c>
      <c r="C116" s="11">
        <v>1267</v>
      </c>
      <c r="D116" s="9" t="s">
        <v>1638</v>
      </c>
      <c r="E116" s="24" t="s">
        <v>2594</v>
      </c>
      <c r="F116" s="27" t="s">
        <v>2597</v>
      </c>
      <c r="G116" s="11" t="s">
        <v>2165</v>
      </c>
      <c r="H116" s="8" t="s">
        <v>151</v>
      </c>
      <c r="I116" s="32" t="s">
        <v>2658</v>
      </c>
      <c r="J116" s="25">
        <v>44775</v>
      </c>
      <c r="K116" s="25">
        <v>45140</v>
      </c>
      <c r="L116" s="26">
        <f t="shared" si="48"/>
        <v>80</v>
      </c>
      <c r="M116" s="11">
        <v>8</v>
      </c>
      <c r="N116" s="11" t="s">
        <v>261</v>
      </c>
      <c r="O116" s="11" t="s">
        <v>261</v>
      </c>
      <c r="P116" s="11" t="s">
        <v>174</v>
      </c>
      <c r="Q116" s="11" t="s">
        <v>34</v>
      </c>
      <c r="R116" s="1">
        <f t="shared" si="49"/>
        <v>3177747.24</v>
      </c>
      <c r="S116" s="30">
        <v>0</v>
      </c>
      <c r="T116" s="2">
        <v>3177747.24</v>
      </c>
      <c r="U116" s="1">
        <f t="shared" si="50"/>
        <v>714993.13</v>
      </c>
      <c r="V116" s="42">
        <v>0</v>
      </c>
      <c r="W116" s="28">
        <v>714993.13</v>
      </c>
      <c r="X116" s="1">
        <f t="shared" si="51"/>
        <v>79443.679999999993</v>
      </c>
      <c r="Y116" s="30">
        <v>0</v>
      </c>
      <c r="Z116" s="2">
        <v>79443.679999999993</v>
      </c>
      <c r="AA116" s="2">
        <f t="shared" si="53"/>
        <v>0</v>
      </c>
      <c r="AB116" s="30">
        <v>0</v>
      </c>
      <c r="AC116" s="30">
        <v>0</v>
      </c>
      <c r="AD116" s="16">
        <f t="shared" si="30"/>
        <v>3972184.0500000003</v>
      </c>
      <c r="AE116" s="37">
        <v>0</v>
      </c>
      <c r="AF116" s="2">
        <f t="shared" si="52"/>
        <v>3972184.0500000003</v>
      </c>
      <c r="AG116" s="38" t="s">
        <v>486</v>
      </c>
      <c r="AH116" s="35"/>
      <c r="AI116" s="30">
        <v>0</v>
      </c>
      <c r="AJ116" s="30">
        <v>0</v>
      </c>
    </row>
    <row r="117" spans="1:36" ht="283.5" x14ac:dyDescent="0.25">
      <c r="A117" s="6">
        <v>114</v>
      </c>
      <c r="B117" s="31">
        <v>155759</v>
      </c>
      <c r="C117" s="11">
        <v>1269</v>
      </c>
      <c r="D117" s="9" t="s">
        <v>1638</v>
      </c>
      <c r="E117" s="24" t="s">
        <v>2594</v>
      </c>
      <c r="F117" s="27" t="s">
        <v>3185</v>
      </c>
      <c r="G117" s="11" t="s">
        <v>2157</v>
      </c>
      <c r="H117" s="8" t="s">
        <v>151</v>
      </c>
      <c r="I117" s="32" t="s">
        <v>3186</v>
      </c>
      <c r="J117" s="25">
        <v>44795</v>
      </c>
      <c r="K117" s="25">
        <v>45160</v>
      </c>
      <c r="L117" s="26">
        <f t="shared" si="48"/>
        <v>80</v>
      </c>
      <c r="M117" s="11">
        <v>8</v>
      </c>
      <c r="N117" s="11" t="s">
        <v>261</v>
      </c>
      <c r="O117" s="11" t="s">
        <v>261</v>
      </c>
      <c r="P117" s="11" t="s">
        <v>174</v>
      </c>
      <c r="Q117" s="11" t="s">
        <v>34</v>
      </c>
      <c r="R117" s="1">
        <f t="shared" si="49"/>
        <v>3193664.8</v>
      </c>
      <c r="S117" s="30">
        <v>0</v>
      </c>
      <c r="T117" s="2">
        <v>3193664.8</v>
      </c>
      <c r="U117" s="1">
        <f t="shared" si="50"/>
        <v>718574.58</v>
      </c>
      <c r="V117" s="42">
        <v>0</v>
      </c>
      <c r="W117" s="28">
        <v>718574.58</v>
      </c>
      <c r="X117" s="1">
        <f t="shared" si="51"/>
        <v>79841.62</v>
      </c>
      <c r="Y117" s="30">
        <v>0</v>
      </c>
      <c r="Z117" s="2">
        <v>79841.62</v>
      </c>
      <c r="AA117" s="2">
        <v>0</v>
      </c>
      <c r="AB117" s="30">
        <v>0</v>
      </c>
      <c r="AC117" s="30">
        <v>0</v>
      </c>
      <c r="AD117" s="16">
        <f t="shared" si="30"/>
        <v>3992081</v>
      </c>
      <c r="AE117" s="37">
        <v>0</v>
      </c>
      <c r="AF117" s="2">
        <f t="shared" si="52"/>
        <v>3992081</v>
      </c>
      <c r="AG117" s="38" t="s">
        <v>486</v>
      </c>
      <c r="AH117" s="35"/>
      <c r="AI117" s="30">
        <f>399208.1</f>
        <v>399208.1</v>
      </c>
      <c r="AJ117" s="30">
        <v>0</v>
      </c>
    </row>
    <row r="118" spans="1:36" ht="220.5" x14ac:dyDescent="0.25">
      <c r="A118" s="6">
        <v>115</v>
      </c>
      <c r="B118" s="31">
        <v>155741</v>
      </c>
      <c r="C118" s="11">
        <v>1268</v>
      </c>
      <c r="D118" s="9" t="s">
        <v>1638</v>
      </c>
      <c r="E118" s="24" t="s">
        <v>2594</v>
      </c>
      <c r="F118" s="27" t="s">
        <v>3250</v>
      </c>
      <c r="G118" s="11" t="s">
        <v>3249</v>
      </c>
      <c r="H118" s="8" t="s">
        <v>151</v>
      </c>
      <c r="I118" s="32" t="s">
        <v>3251</v>
      </c>
      <c r="J118" s="25">
        <v>44806</v>
      </c>
      <c r="K118" s="25">
        <v>45232</v>
      </c>
      <c r="L118" s="26">
        <f t="shared" si="48"/>
        <v>80</v>
      </c>
      <c r="M118" s="11">
        <v>8</v>
      </c>
      <c r="N118" s="11" t="s">
        <v>261</v>
      </c>
      <c r="O118" s="11" t="s">
        <v>261</v>
      </c>
      <c r="P118" s="11" t="s">
        <v>174</v>
      </c>
      <c r="Q118" s="11" t="s">
        <v>34</v>
      </c>
      <c r="R118" s="1">
        <f t="shared" si="49"/>
        <v>2922630.72</v>
      </c>
      <c r="S118" s="30">
        <v>0</v>
      </c>
      <c r="T118" s="2">
        <v>2922630.72</v>
      </c>
      <c r="U118" s="1">
        <f t="shared" si="50"/>
        <v>657591.91</v>
      </c>
      <c r="V118" s="42">
        <v>0</v>
      </c>
      <c r="W118" s="28">
        <v>657591.91</v>
      </c>
      <c r="X118" s="1">
        <f t="shared" si="51"/>
        <v>73065.77</v>
      </c>
      <c r="Y118" s="30">
        <v>0</v>
      </c>
      <c r="Z118" s="2">
        <v>73065.77</v>
      </c>
      <c r="AA118" s="2">
        <v>0</v>
      </c>
      <c r="AB118" s="30">
        <v>0</v>
      </c>
      <c r="AC118" s="30">
        <v>0</v>
      </c>
      <c r="AD118" s="16">
        <f t="shared" si="30"/>
        <v>3653288.4000000004</v>
      </c>
      <c r="AE118" s="37">
        <v>0</v>
      </c>
      <c r="AF118" s="2">
        <f t="shared" si="52"/>
        <v>3653288.4000000004</v>
      </c>
      <c r="AG118" s="38" t="s">
        <v>486</v>
      </c>
      <c r="AH118" s="35"/>
      <c r="AI118" s="30">
        <v>0</v>
      </c>
      <c r="AJ118" s="30">
        <v>0</v>
      </c>
    </row>
    <row r="119" spans="1:36" ht="330.75" x14ac:dyDescent="0.25">
      <c r="A119" s="6">
        <v>116</v>
      </c>
      <c r="B119" s="31">
        <v>155872</v>
      </c>
      <c r="C119" s="11">
        <v>1265</v>
      </c>
      <c r="D119" s="9" t="s">
        <v>1638</v>
      </c>
      <c r="E119" s="24" t="s">
        <v>2594</v>
      </c>
      <c r="F119" s="27" t="s">
        <v>3300</v>
      </c>
      <c r="G119" s="11" t="s">
        <v>3299</v>
      </c>
      <c r="H119" s="11" t="s">
        <v>3301</v>
      </c>
      <c r="I119" s="32" t="s">
        <v>3302</v>
      </c>
      <c r="J119" s="25">
        <v>44848</v>
      </c>
      <c r="K119" s="25">
        <v>45213</v>
      </c>
      <c r="L119" s="26">
        <f t="shared" si="48"/>
        <v>80</v>
      </c>
      <c r="M119" s="11">
        <v>8</v>
      </c>
      <c r="N119" s="11" t="s">
        <v>261</v>
      </c>
      <c r="O119" s="11" t="s">
        <v>261</v>
      </c>
      <c r="P119" s="11" t="s">
        <v>174</v>
      </c>
      <c r="Q119" s="11" t="s">
        <v>34</v>
      </c>
      <c r="R119" s="1">
        <f t="shared" si="49"/>
        <v>3191179.6</v>
      </c>
      <c r="S119" s="30">
        <v>0</v>
      </c>
      <c r="T119" s="2">
        <v>3191179.6</v>
      </c>
      <c r="U119" s="1">
        <f t="shared" si="50"/>
        <v>718015.42</v>
      </c>
      <c r="V119" s="42">
        <v>0</v>
      </c>
      <c r="W119" s="28">
        <v>718015.42</v>
      </c>
      <c r="X119" s="1">
        <f t="shared" si="51"/>
        <v>79779.48</v>
      </c>
      <c r="Y119" s="30">
        <v>0</v>
      </c>
      <c r="Z119" s="2">
        <v>79779.48</v>
      </c>
      <c r="AA119" s="2">
        <v>0</v>
      </c>
      <c r="AB119" s="30">
        <v>0</v>
      </c>
      <c r="AC119" s="30">
        <v>0</v>
      </c>
      <c r="AD119" s="16">
        <f t="shared" si="30"/>
        <v>3988974.5</v>
      </c>
      <c r="AE119" s="37">
        <v>0</v>
      </c>
      <c r="AF119" s="2">
        <f t="shared" si="52"/>
        <v>3988974.5</v>
      </c>
      <c r="AG119" s="38" t="s">
        <v>486</v>
      </c>
      <c r="AH119" s="35"/>
      <c r="AI119" s="30">
        <v>0</v>
      </c>
      <c r="AJ119" s="30">
        <v>0</v>
      </c>
    </row>
    <row r="120" spans="1:36" ht="315" x14ac:dyDescent="0.25">
      <c r="A120" s="6">
        <v>117</v>
      </c>
      <c r="B120" s="31">
        <v>118335</v>
      </c>
      <c r="C120" s="31">
        <v>427</v>
      </c>
      <c r="D120" s="32" t="s">
        <v>1639</v>
      </c>
      <c r="E120" s="24" t="s">
        <v>507</v>
      </c>
      <c r="F120" s="27" t="s">
        <v>568</v>
      </c>
      <c r="G120" s="11" t="s">
        <v>569</v>
      </c>
      <c r="H120" s="8" t="s">
        <v>151</v>
      </c>
      <c r="I120" s="45" t="s">
        <v>573</v>
      </c>
      <c r="J120" s="25">
        <v>43284</v>
      </c>
      <c r="K120" s="25">
        <v>43711</v>
      </c>
      <c r="L120" s="26">
        <f t="shared" ref="L120:L129" si="54">R120/AD120*100</f>
        <v>85.000001775483071</v>
      </c>
      <c r="M120" s="11">
        <v>2</v>
      </c>
      <c r="N120" s="11" t="s">
        <v>570</v>
      </c>
      <c r="O120" s="11" t="s">
        <v>570</v>
      </c>
      <c r="P120" s="11" t="s">
        <v>174</v>
      </c>
      <c r="Q120" s="11" t="s">
        <v>34</v>
      </c>
      <c r="R120" s="1">
        <v>239371.48</v>
      </c>
      <c r="S120" s="2">
        <v>239371.48</v>
      </c>
      <c r="T120" s="30">
        <v>0</v>
      </c>
      <c r="U120" s="1">
        <f t="shared" si="50"/>
        <v>36609.75</v>
      </c>
      <c r="V120" s="28">
        <v>36609.75</v>
      </c>
      <c r="W120" s="55">
        <v>0</v>
      </c>
      <c r="X120" s="1">
        <f t="shared" si="51"/>
        <v>5632.27</v>
      </c>
      <c r="Y120" s="2">
        <v>5632.27</v>
      </c>
      <c r="Z120" s="30">
        <v>0</v>
      </c>
      <c r="AA120" s="2">
        <f>AB120+AC120</f>
        <v>0</v>
      </c>
      <c r="AB120" s="30">
        <v>0</v>
      </c>
      <c r="AC120" s="30">
        <v>0</v>
      </c>
      <c r="AD120" s="16">
        <f t="shared" si="30"/>
        <v>281613.5</v>
      </c>
      <c r="AE120" s="35">
        <v>0</v>
      </c>
      <c r="AF120" s="2">
        <f t="shared" ref="AF120:AF129" si="55">AD120+AE120</f>
        <v>281613.5</v>
      </c>
      <c r="AG120" s="21" t="s">
        <v>857</v>
      </c>
      <c r="AH120" s="35" t="s">
        <v>1048</v>
      </c>
      <c r="AI120" s="30">
        <v>238071.21999999997</v>
      </c>
      <c r="AJ120" s="30">
        <v>36410.870000000003</v>
      </c>
    </row>
    <row r="121" spans="1:36" ht="362.25" x14ac:dyDescent="0.25">
      <c r="A121" s="6">
        <v>118</v>
      </c>
      <c r="B121" s="31">
        <v>118396</v>
      </c>
      <c r="C121" s="31">
        <v>428</v>
      </c>
      <c r="D121" s="32" t="s">
        <v>1639</v>
      </c>
      <c r="E121" s="24" t="s">
        <v>507</v>
      </c>
      <c r="F121" s="11" t="s">
        <v>696</v>
      </c>
      <c r="G121" s="11" t="s">
        <v>697</v>
      </c>
      <c r="H121" s="11" t="s">
        <v>659</v>
      </c>
      <c r="I121" s="74" t="s">
        <v>2659</v>
      </c>
      <c r="J121" s="25">
        <v>43312</v>
      </c>
      <c r="K121" s="25">
        <v>43861</v>
      </c>
      <c r="L121" s="26">
        <f t="shared" si="54"/>
        <v>84.167393553203468</v>
      </c>
      <c r="M121" s="47">
        <v>2</v>
      </c>
      <c r="N121" s="11" t="s">
        <v>570</v>
      </c>
      <c r="O121" s="11" t="s">
        <v>570</v>
      </c>
      <c r="P121" s="11" t="s">
        <v>174</v>
      </c>
      <c r="Q121" s="11" t="s">
        <v>34</v>
      </c>
      <c r="R121" s="30">
        <f>S121</f>
        <v>326686.85000000009</v>
      </c>
      <c r="S121" s="30">
        <v>326686.85000000009</v>
      </c>
      <c r="T121" s="30">
        <v>0</v>
      </c>
      <c r="U121" s="1">
        <f t="shared" si="50"/>
        <v>53689.799999999996</v>
      </c>
      <c r="V121" s="42">
        <v>53689.799999999996</v>
      </c>
      <c r="W121" s="42">
        <v>0</v>
      </c>
      <c r="X121" s="1">
        <f t="shared" si="51"/>
        <v>3960.82</v>
      </c>
      <c r="Y121" s="30">
        <v>3960.82</v>
      </c>
      <c r="Z121" s="30">
        <v>0</v>
      </c>
      <c r="AA121" s="2">
        <f>AB121+AC121</f>
        <v>3801.97</v>
      </c>
      <c r="AB121" s="30">
        <v>3801.97</v>
      </c>
      <c r="AC121" s="30">
        <v>0</v>
      </c>
      <c r="AD121" s="16">
        <f t="shared" si="30"/>
        <v>388139.44000000006</v>
      </c>
      <c r="AE121" s="35">
        <v>0</v>
      </c>
      <c r="AF121" s="2">
        <f t="shared" si="55"/>
        <v>388139.44000000006</v>
      </c>
      <c r="AG121" s="38" t="s">
        <v>857</v>
      </c>
      <c r="AH121" s="35" t="s">
        <v>1333</v>
      </c>
      <c r="AI121" s="30">
        <v>228534.63999999998</v>
      </c>
      <c r="AJ121" s="30">
        <v>38165.25</v>
      </c>
    </row>
    <row r="122" spans="1:36" ht="189" x14ac:dyDescent="0.25">
      <c r="A122" s="6">
        <v>119</v>
      </c>
      <c r="B122" s="31">
        <v>119892</v>
      </c>
      <c r="C122" s="31">
        <v>480</v>
      </c>
      <c r="D122" s="9" t="s">
        <v>1638</v>
      </c>
      <c r="E122" s="24" t="s">
        <v>457</v>
      </c>
      <c r="F122" s="11" t="s">
        <v>872</v>
      </c>
      <c r="G122" s="11" t="s">
        <v>569</v>
      </c>
      <c r="H122" s="8" t="s">
        <v>151</v>
      </c>
      <c r="I122" s="12" t="s">
        <v>2660</v>
      </c>
      <c r="J122" s="75">
        <v>43389</v>
      </c>
      <c r="K122" s="25">
        <v>43906</v>
      </c>
      <c r="L122" s="26">
        <f t="shared" si="54"/>
        <v>85.000001891187381</v>
      </c>
      <c r="M122" s="31">
        <v>2</v>
      </c>
      <c r="N122" s="11" t="s">
        <v>570</v>
      </c>
      <c r="O122" s="11" t="s">
        <v>873</v>
      </c>
      <c r="P122" s="67" t="s">
        <v>174</v>
      </c>
      <c r="Q122" s="11" t="s">
        <v>460</v>
      </c>
      <c r="R122" s="76">
        <f t="shared" ref="R122:R129" si="56">S122+T122</f>
        <v>337089.82</v>
      </c>
      <c r="S122" s="30">
        <v>337089.82</v>
      </c>
      <c r="T122" s="30">
        <v>0</v>
      </c>
      <c r="U122" s="1">
        <f t="shared" si="50"/>
        <v>51554.92</v>
      </c>
      <c r="V122" s="28">
        <v>51554.92</v>
      </c>
      <c r="W122" s="77">
        <v>0</v>
      </c>
      <c r="X122" s="1">
        <f t="shared" si="51"/>
        <v>7931.51</v>
      </c>
      <c r="Y122" s="78">
        <v>7931.51</v>
      </c>
      <c r="Z122" s="30">
        <v>0</v>
      </c>
      <c r="AA122" s="11">
        <v>0</v>
      </c>
      <c r="AB122" s="11">
        <v>0</v>
      </c>
      <c r="AC122" s="30">
        <v>0</v>
      </c>
      <c r="AD122" s="16">
        <f t="shared" si="30"/>
        <v>396576.25</v>
      </c>
      <c r="AE122" s="79">
        <v>2189.6</v>
      </c>
      <c r="AF122" s="2">
        <f t="shared" si="55"/>
        <v>398765.85</v>
      </c>
      <c r="AG122" s="38" t="s">
        <v>857</v>
      </c>
      <c r="AH122" s="35" t="s">
        <v>1165</v>
      </c>
      <c r="AI122" s="30">
        <v>303728.18</v>
      </c>
      <c r="AJ122" s="30">
        <v>46452.54</v>
      </c>
    </row>
    <row r="123" spans="1:36" ht="157.5" x14ac:dyDescent="0.25">
      <c r="A123" s="6">
        <v>120</v>
      </c>
      <c r="B123" s="31">
        <v>126446</v>
      </c>
      <c r="C123" s="31">
        <v>543</v>
      </c>
      <c r="D123" s="9" t="s">
        <v>1638</v>
      </c>
      <c r="E123" s="24" t="s">
        <v>899</v>
      </c>
      <c r="F123" s="11" t="s">
        <v>901</v>
      </c>
      <c r="G123" s="11" t="s">
        <v>569</v>
      </c>
      <c r="H123" s="8" t="s">
        <v>151</v>
      </c>
      <c r="I123" s="12" t="s">
        <v>2661</v>
      </c>
      <c r="J123" s="75">
        <v>43430</v>
      </c>
      <c r="K123" s="25">
        <v>44618</v>
      </c>
      <c r="L123" s="26">
        <f t="shared" si="54"/>
        <v>85.000000017455704</v>
      </c>
      <c r="M123" s="31">
        <v>2</v>
      </c>
      <c r="N123" s="11" t="s">
        <v>570</v>
      </c>
      <c r="O123" s="11" t="s">
        <v>873</v>
      </c>
      <c r="P123" s="67" t="s">
        <v>174</v>
      </c>
      <c r="Q123" s="11" t="s">
        <v>460</v>
      </c>
      <c r="R123" s="76">
        <f t="shared" si="56"/>
        <v>2434734.11</v>
      </c>
      <c r="S123" s="30">
        <v>2434734.11</v>
      </c>
      <c r="T123" s="30">
        <v>0</v>
      </c>
      <c r="U123" s="1">
        <f t="shared" si="50"/>
        <v>372371.1</v>
      </c>
      <c r="V123" s="28">
        <v>372371.1</v>
      </c>
      <c r="W123" s="77">
        <v>0</v>
      </c>
      <c r="X123" s="1">
        <f t="shared" si="51"/>
        <v>57287.86</v>
      </c>
      <c r="Y123" s="78">
        <v>57287.86</v>
      </c>
      <c r="Z123" s="30">
        <v>0</v>
      </c>
      <c r="AA123" s="2">
        <f t="shared" ref="AA123:AA128" si="57">AB123+AC123</f>
        <v>0</v>
      </c>
      <c r="AB123" s="30">
        <v>0</v>
      </c>
      <c r="AC123" s="30">
        <v>0</v>
      </c>
      <c r="AD123" s="16">
        <f t="shared" si="30"/>
        <v>2864393.07</v>
      </c>
      <c r="AE123" s="31"/>
      <c r="AF123" s="2">
        <f t="shared" si="55"/>
        <v>2864393.07</v>
      </c>
      <c r="AG123" s="38" t="s">
        <v>857</v>
      </c>
      <c r="AH123" s="38" t="s">
        <v>1734</v>
      </c>
      <c r="AI123" s="30">
        <f>148644.99+110292.95+91247.42+379969.97+164834.04+401292.39+387404.5+75948.62+414110.17</f>
        <v>2173745.0499999998</v>
      </c>
      <c r="AJ123" s="30">
        <f>22733.93+16868.33+13955.48+58113.06+25209.91+61374.14+59250.1+11615.67+63334.49</f>
        <v>332455.11</v>
      </c>
    </row>
    <row r="124" spans="1:36" ht="189" x14ac:dyDescent="0.25">
      <c r="A124" s="6">
        <v>121</v>
      </c>
      <c r="B124" s="31">
        <v>120730</v>
      </c>
      <c r="C124" s="11">
        <v>92</v>
      </c>
      <c r="D124" s="9" t="s">
        <v>1638</v>
      </c>
      <c r="E124" s="24" t="s">
        <v>277</v>
      </c>
      <c r="F124" s="11" t="s">
        <v>197</v>
      </c>
      <c r="G124" s="11" t="s">
        <v>196</v>
      </c>
      <c r="H124" s="8" t="s">
        <v>151</v>
      </c>
      <c r="I124" s="12" t="s">
        <v>199</v>
      </c>
      <c r="J124" s="25">
        <v>43145</v>
      </c>
      <c r="K124" s="25">
        <v>43630</v>
      </c>
      <c r="L124" s="26">
        <f t="shared" si="54"/>
        <v>85.000000355065879</v>
      </c>
      <c r="M124" s="11">
        <v>2</v>
      </c>
      <c r="N124" s="11" t="s">
        <v>570</v>
      </c>
      <c r="O124" s="11" t="s">
        <v>1016</v>
      </c>
      <c r="P124" s="27" t="s">
        <v>174</v>
      </c>
      <c r="Q124" s="11" t="s">
        <v>34</v>
      </c>
      <c r="R124" s="2">
        <f t="shared" si="56"/>
        <v>359088.29</v>
      </c>
      <c r="S124" s="2">
        <v>359088.29</v>
      </c>
      <c r="T124" s="2">
        <v>0</v>
      </c>
      <c r="U124" s="1">
        <f t="shared" si="50"/>
        <v>54919.39</v>
      </c>
      <c r="V124" s="28">
        <v>54919.39</v>
      </c>
      <c r="W124" s="28">
        <v>0</v>
      </c>
      <c r="X124" s="1">
        <f t="shared" si="51"/>
        <v>8449.1299999999992</v>
      </c>
      <c r="Y124" s="2">
        <v>8449.1299999999992</v>
      </c>
      <c r="Z124" s="2">
        <v>0</v>
      </c>
      <c r="AA124" s="2">
        <f t="shared" si="57"/>
        <v>0</v>
      </c>
      <c r="AB124" s="2">
        <v>0</v>
      </c>
      <c r="AC124" s="2">
        <v>0</v>
      </c>
      <c r="AD124" s="16">
        <f t="shared" si="30"/>
        <v>422456.81</v>
      </c>
      <c r="AE124" s="2">
        <v>66435.22</v>
      </c>
      <c r="AF124" s="2">
        <f t="shared" si="55"/>
        <v>488892.03</v>
      </c>
      <c r="AG124" s="21" t="s">
        <v>857</v>
      </c>
      <c r="AH124" s="29" t="s">
        <v>151</v>
      </c>
      <c r="AI124" s="30">
        <v>331095.73</v>
      </c>
      <c r="AJ124" s="30">
        <v>50638.16</v>
      </c>
    </row>
    <row r="125" spans="1:36" ht="141.75" x14ac:dyDescent="0.25">
      <c r="A125" s="6">
        <v>122</v>
      </c>
      <c r="B125" s="31">
        <v>129270</v>
      </c>
      <c r="C125" s="11">
        <v>647</v>
      </c>
      <c r="D125" s="9" t="s">
        <v>1638</v>
      </c>
      <c r="E125" s="24" t="s">
        <v>1071</v>
      </c>
      <c r="F125" s="31" t="s">
        <v>1149</v>
      </c>
      <c r="G125" s="11" t="s">
        <v>196</v>
      </c>
      <c r="H125" s="8" t="s">
        <v>151</v>
      </c>
      <c r="I125" s="12" t="s">
        <v>2662</v>
      </c>
      <c r="J125" s="25">
        <v>43656</v>
      </c>
      <c r="K125" s="25">
        <v>44296</v>
      </c>
      <c r="L125" s="26">
        <f t="shared" si="54"/>
        <v>84.999999975703545</v>
      </c>
      <c r="M125" s="11">
        <v>2</v>
      </c>
      <c r="N125" s="11" t="s">
        <v>570</v>
      </c>
      <c r="O125" s="11" t="s">
        <v>1016</v>
      </c>
      <c r="P125" s="27" t="s">
        <v>174</v>
      </c>
      <c r="Q125" s="11" t="s">
        <v>34</v>
      </c>
      <c r="R125" s="2">
        <f t="shared" si="56"/>
        <v>1749225.82</v>
      </c>
      <c r="S125" s="2">
        <v>1749225.82</v>
      </c>
      <c r="T125" s="2">
        <v>0</v>
      </c>
      <c r="U125" s="1">
        <f t="shared" si="50"/>
        <v>267528.65999999997</v>
      </c>
      <c r="V125" s="28">
        <v>267528.65999999997</v>
      </c>
      <c r="W125" s="28">
        <v>0</v>
      </c>
      <c r="X125" s="1">
        <f t="shared" si="51"/>
        <v>41158.25</v>
      </c>
      <c r="Y125" s="2">
        <v>41158.25</v>
      </c>
      <c r="Z125" s="2">
        <v>0</v>
      </c>
      <c r="AA125" s="2">
        <f t="shared" si="57"/>
        <v>0</v>
      </c>
      <c r="AB125" s="2">
        <v>0</v>
      </c>
      <c r="AC125" s="2">
        <v>0</v>
      </c>
      <c r="AD125" s="16">
        <f t="shared" si="30"/>
        <v>2057912.73</v>
      </c>
      <c r="AE125" s="2">
        <v>0</v>
      </c>
      <c r="AF125" s="2">
        <f t="shared" si="55"/>
        <v>2057912.73</v>
      </c>
      <c r="AG125" s="38" t="s">
        <v>857</v>
      </c>
      <c r="AH125" s="29" t="s">
        <v>1723</v>
      </c>
      <c r="AI125" s="30">
        <f>166775.7+14801.9+886408.22+130598.51+13288.05+485288.13+13655.25</f>
        <v>1710815.7600000002</v>
      </c>
      <c r="AJ125" s="30">
        <f>25506.87+2263.82+135568.33+19973.88+2032.29+74220.54+2088.45</f>
        <v>261654.18</v>
      </c>
    </row>
    <row r="126" spans="1:36" ht="157.5" x14ac:dyDescent="0.25">
      <c r="A126" s="6">
        <v>123</v>
      </c>
      <c r="B126" s="31">
        <v>128948</v>
      </c>
      <c r="C126" s="11">
        <v>664</v>
      </c>
      <c r="D126" s="9" t="s">
        <v>1638</v>
      </c>
      <c r="E126" s="24" t="s">
        <v>1071</v>
      </c>
      <c r="F126" s="31" t="s">
        <v>1259</v>
      </c>
      <c r="G126" s="11" t="s">
        <v>569</v>
      </c>
      <c r="H126" s="8" t="s">
        <v>151</v>
      </c>
      <c r="I126" s="12" t="s">
        <v>2663</v>
      </c>
      <c r="J126" s="25">
        <v>43712</v>
      </c>
      <c r="K126" s="25">
        <v>44838</v>
      </c>
      <c r="L126" s="26">
        <f t="shared" si="54"/>
        <v>85.000000102885792</v>
      </c>
      <c r="M126" s="11">
        <v>2</v>
      </c>
      <c r="N126" s="11" t="s">
        <v>570</v>
      </c>
      <c r="O126" s="11" t="s">
        <v>873</v>
      </c>
      <c r="P126" s="27" t="s">
        <v>174</v>
      </c>
      <c r="Q126" s="11" t="s">
        <v>34</v>
      </c>
      <c r="R126" s="2">
        <f t="shared" si="56"/>
        <v>826158.81</v>
      </c>
      <c r="S126" s="2">
        <v>826158.81</v>
      </c>
      <c r="T126" s="2">
        <v>0</v>
      </c>
      <c r="U126" s="1">
        <f t="shared" si="50"/>
        <v>126353.7</v>
      </c>
      <c r="V126" s="28">
        <v>126353.7</v>
      </c>
      <c r="W126" s="28">
        <v>0</v>
      </c>
      <c r="X126" s="1">
        <f t="shared" si="51"/>
        <v>19439.03</v>
      </c>
      <c r="Y126" s="2">
        <v>19439.03</v>
      </c>
      <c r="Z126" s="2">
        <v>0</v>
      </c>
      <c r="AA126" s="2">
        <f t="shared" si="57"/>
        <v>0</v>
      </c>
      <c r="AB126" s="2">
        <v>0</v>
      </c>
      <c r="AC126" s="2">
        <v>0</v>
      </c>
      <c r="AD126" s="16">
        <f t="shared" si="30"/>
        <v>971951.54</v>
      </c>
      <c r="AE126" s="2">
        <v>0</v>
      </c>
      <c r="AF126" s="2">
        <f t="shared" si="55"/>
        <v>971951.54</v>
      </c>
      <c r="AG126" s="38" t="s">
        <v>857</v>
      </c>
      <c r="AH126" s="29" t="s">
        <v>2004</v>
      </c>
      <c r="AI126" s="30">
        <f>270562.09+154557.2+217169.05</f>
        <v>642288.34000000008</v>
      </c>
      <c r="AJ126" s="30">
        <f>41380.08+23638.16+33214.09</f>
        <v>98232.33</v>
      </c>
    </row>
    <row r="127" spans="1:36" ht="141.75" x14ac:dyDescent="0.25">
      <c r="A127" s="6">
        <v>124</v>
      </c>
      <c r="B127" s="31">
        <v>135741</v>
      </c>
      <c r="C127" s="11">
        <v>772</v>
      </c>
      <c r="D127" s="9" t="s">
        <v>1638</v>
      </c>
      <c r="E127" s="24" t="s">
        <v>1441</v>
      </c>
      <c r="F127" s="31" t="s">
        <v>1443</v>
      </c>
      <c r="G127" s="11" t="s">
        <v>569</v>
      </c>
      <c r="H127" s="8" t="s">
        <v>151</v>
      </c>
      <c r="I127" s="12" t="s">
        <v>2664</v>
      </c>
      <c r="J127" s="25">
        <v>43949</v>
      </c>
      <c r="K127" s="25">
        <v>44558</v>
      </c>
      <c r="L127" s="26">
        <f t="shared" si="54"/>
        <v>85</v>
      </c>
      <c r="M127" s="11">
        <v>2</v>
      </c>
      <c r="N127" s="11" t="s">
        <v>570</v>
      </c>
      <c r="O127" s="11" t="s">
        <v>873</v>
      </c>
      <c r="P127" s="27" t="s">
        <v>174</v>
      </c>
      <c r="Q127" s="11" t="s">
        <v>34</v>
      </c>
      <c r="R127" s="2">
        <f t="shared" si="56"/>
        <v>849255.4</v>
      </c>
      <c r="S127" s="2">
        <v>849255.4</v>
      </c>
      <c r="T127" s="2">
        <v>0</v>
      </c>
      <c r="U127" s="1">
        <f t="shared" si="50"/>
        <v>129886.12</v>
      </c>
      <c r="V127" s="28">
        <v>129886.12</v>
      </c>
      <c r="W127" s="28">
        <v>0</v>
      </c>
      <c r="X127" s="1">
        <f t="shared" si="51"/>
        <v>19982.48</v>
      </c>
      <c r="Y127" s="2">
        <v>19982.48</v>
      </c>
      <c r="Z127" s="2">
        <v>0</v>
      </c>
      <c r="AA127" s="2">
        <f t="shared" si="57"/>
        <v>0</v>
      </c>
      <c r="AB127" s="2">
        <v>0</v>
      </c>
      <c r="AC127" s="2">
        <v>0</v>
      </c>
      <c r="AD127" s="16">
        <f t="shared" si="30"/>
        <v>999124</v>
      </c>
      <c r="AE127" s="2">
        <v>0</v>
      </c>
      <c r="AF127" s="2">
        <f t="shared" si="55"/>
        <v>999124</v>
      </c>
      <c r="AG127" s="38" t="s">
        <v>857</v>
      </c>
      <c r="AH127" s="29" t="s">
        <v>1796</v>
      </c>
      <c r="AI127" s="30">
        <f>35402.5+6069+633502.45+8698.9</f>
        <v>683672.85</v>
      </c>
      <c r="AJ127" s="30">
        <f>5414.5+928.2+96888.61+1330.42</f>
        <v>104561.73</v>
      </c>
    </row>
    <row r="128" spans="1:36" ht="141.75" x14ac:dyDescent="0.25">
      <c r="A128" s="6">
        <v>125</v>
      </c>
      <c r="B128" s="31">
        <v>136038</v>
      </c>
      <c r="C128" s="11">
        <v>794</v>
      </c>
      <c r="D128" s="9" t="s">
        <v>1638</v>
      </c>
      <c r="E128" s="24" t="s">
        <v>1441</v>
      </c>
      <c r="F128" s="31" t="s">
        <v>1478</v>
      </c>
      <c r="G128" s="11" t="s">
        <v>697</v>
      </c>
      <c r="H128" s="8" t="s">
        <v>151</v>
      </c>
      <c r="I128" s="12" t="s">
        <v>1479</v>
      </c>
      <c r="J128" s="25">
        <v>43969</v>
      </c>
      <c r="K128" s="25">
        <v>44760</v>
      </c>
      <c r="L128" s="26">
        <f t="shared" si="54"/>
        <v>85</v>
      </c>
      <c r="M128" s="11">
        <v>2</v>
      </c>
      <c r="N128" s="11" t="s">
        <v>570</v>
      </c>
      <c r="O128" s="11" t="s">
        <v>873</v>
      </c>
      <c r="P128" s="27" t="s">
        <v>174</v>
      </c>
      <c r="Q128" s="11" t="s">
        <v>34</v>
      </c>
      <c r="R128" s="2">
        <f t="shared" si="56"/>
        <v>3210818.0500000003</v>
      </c>
      <c r="S128" s="2">
        <v>3210818.0500000003</v>
      </c>
      <c r="T128" s="2">
        <v>0</v>
      </c>
      <c r="U128" s="1">
        <f t="shared" si="50"/>
        <v>491066.29</v>
      </c>
      <c r="V128" s="28">
        <v>491066.29</v>
      </c>
      <c r="W128" s="28">
        <v>0</v>
      </c>
      <c r="X128" s="1">
        <f t="shared" si="51"/>
        <v>75548.66</v>
      </c>
      <c r="Y128" s="2">
        <v>75548.66</v>
      </c>
      <c r="Z128" s="2">
        <v>0</v>
      </c>
      <c r="AA128" s="2">
        <f t="shared" si="57"/>
        <v>0</v>
      </c>
      <c r="AB128" s="2">
        <v>0</v>
      </c>
      <c r="AC128" s="2">
        <v>0</v>
      </c>
      <c r="AD128" s="16">
        <f t="shared" si="30"/>
        <v>3777433.0000000005</v>
      </c>
      <c r="AE128" s="2">
        <v>95200</v>
      </c>
      <c r="AF128" s="2">
        <f t="shared" si="55"/>
        <v>3872633.0000000005</v>
      </c>
      <c r="AG128" s="38" t="s">
        <v>857</v>
      </c>
      <c r="AH128" s="29"/>
      <c r="AI128" s="30">
        <f>61207.73+24043.1+329688.24+507642.44+512725.95+972952.5+27467.33</f>
        <v>2435727.29</v>
      </c>
      <c r="AJ128" s="30">
        <f>9361.18+3677.18+50422.91+77639.44+78416.91+148804.5+4200.89</f>
        <v>372523.01</v>
      </c>
    </row>
    <row r="129" spans="1:36" ht="267.75" x14ac:dyDescent="0.25">
      <c r="A129" s="6">
        <v>126</v>
      </c>
      <c r="B129" s="31">
        <v>135535</v>
      </c>
      <c r="C129" s="11">
        <v>781</v>
      </c>
      <c r="D129" s="9" t="s">
        <v>1638</v>
      </c>
      <c r="E129" s="24" t="s">
        <v>1441</v>
      </c>
      <c r="F129" s="31" t="s">
        <v>1552</v>
      </c>
      <c r="G129" s="11" t="s">
        <v>196</v>
      </c>
      <c r="H129" s="8" t="s">
        <v>151</v>
      </c>
      <c r="I129" s="12" t="s">
        <v>2665</v>
      </c>
      <c r="J129" s="25">
        <v>44008</v>
      </c>
      <c r="K129" s="25">
        <v>44646</v>
      </c>
      <c r="L129" s="26">
        <f t="shared" si="54"/>
        <v>85.000000029541837</v>
      </c>
      <c r="M129" s="11">
        <v>2</v>
      </c>
      <c r="N129" s="11" t="s">
        <v>570</v>
      </c>
      <c r="O129" s="11" t="s">
        <v>1016</v>
      </c>
      <c r="P129" s="27" t="s">
        <v>174</v>
      </c>
      <c r="Q129" s="11" t="s">
        <v>34</v>
      </c>
      <c r="R129" s="2">
        <f t="shared" si="56"/>
        <v>2877274.6</v>
      </c>
      <c r="S129" s="2">
        <v>2877274.6</v>
      </c>
      <c r="T129" s="2">
        <v>0</v>
      </c>
      <c r="U129" s="1">
        <f t="shared" si="50"/>
        <v>440053.75</v>
      </c>
      <c r="V129" s="28">
        <v>440053.75</v>
      </c>
      <c r="W129" s="28">
        <v>0</v>
      </c>
      <c r="X129" s="1">
        <f t="shared" si="51"/>
        <v>67700.59</v>
      </c>
      <c r="Y129" s="2">
        <v>67700.59</v>
      </c>
      <c r="Z129" s="2">
        <v>0</v>
      </c>
      <c r="AA129" s="2">
        <f>AB129+AC129</f>
        <v>0</v>
      </c>
      <c r="AB129" s="2">
        <v>0</v>
      </c>
      <c r="AC129" s="2">
        <v>0</v>
      </c>
      <c r="AD129" s="16">
        <f t="shared" si="30"/>
        <v>3385028.94</v>
      </c>
      <c r="AE129" s="2">
        <v>0</v>
      </c>
      <c r="AF129" s="2">
        <f t="shared" si="55"/>
        <v>3385028.94</v>
      </c>
      <c r="AG129" s="38" t="s">
        <v>857</v>
      </c>
      <c r="AH129" s="29" t="s">
        <v>1816</v>
      </c>
      <c r="AI129" s="30">
        <f>117553.13+25953.16+132751.52+1335382.3+278036.7+18344.7+13393.45+856740.5+34501.76</f>
        <v>2812657.2199999997</v>
      </c>
      <c r="AJ129" s="30">
        <f>17978.71+3969.31+20303.16+204234.94+42523.26+2805.66+2048.41+131030.9+5276.74</f>
        <v>430171.08999999997</v>
      </c>
    </row>
    <row r="130" spans="1:36" ht="267.75" x14ac:dyDescent="0.25">
      <c r="A130" s="6">
        <v>127</v>
      </c>
      <c r="B130" s="31">
        <v>118879</v>
      </c>
      <c r="C130" s="11">
        <v>452</v>
      </c>
      <c r="D130" s="32" t="s">
        <v>1639</v>
      </c>
      <c r="E130" s="24" t="s">
        <v>507</v>
      </c>
      <c r="F130" s="11" t="s">
        <v>655</v>
      </c>
      <c r="G130" s="11" t="s">
        <v>656</v>
      </c>
      <c r="H130" s="8" t="s">
        <v>151</v>
      </c>
      <c r="I130" s="32" t="s">
        <v>2666</v>
      </c>
      <c r="J130" s="25">
        <v>43293</v>
      </c>
      <c r="K130" s="25">
        <v>43781</v>
      </c>
      <c r="L130" s="26">
        <f t="shared" ref="L130:L138" si="58">R130/AD130*100</f>
        <v>85</v>
      </c>
      <c r="M130" s="11">
        <v>3</v>
      </c>
      <c r="N130" s="11" t="s">
        <v>1469</v>
      </c>
      <c r="O130" s="11" t="s">
        <v>1469</v>
      </c>
      <c r="P130" s="11" t="s">
        <v>174</v>
      </c>
      <c r="Q130" s="11" t="s">
        <v>34</v>
      </c>
      <c r="R130" s="30">
        <v>338205.65</v>
      </c>
      <c r="S130" s="30">
        <v>338205.65</v>
      </c>
      <c r="T130" s="30">
        <v>0</v>
      </c>
      <c r="U130" s="1">
        <f t="shared" ref="U130:U142" si="59">V130+W130</f>
        <v>51725.57</v>
      </c>
      <c r="V130" s="42">
        <v>51725.57</v>
      </c>
      <c r="W130" s="42">
        <v>0</v>
      </c>
      <c r="X130" s="1">
        <f t="shared" ref="X130:X145" si="60">Y130+Z130</f>
        <v>7957.78</v>
      </c>
      <c r="Y130" s="30">
        <v>7957.78</v>
      </c>
      <c r="Z130" s="30">
        <v>0</v>
      </c>
      <c r="AA130" s="2">
        <v>0</v>
      </c>
      <c r="AB130" s="30">
        <v>0</v>
      </c>
      <c r="AC130" s="30">
        <v>0</v>
      </c>
      <c r="AD130" s="16">
        <f t="shared" si="30"/>
        <v>397889.00000000006</v>
      </c>
      <c r="AE130" s="38">
        <v>0</v>
      </c>
      <c r="AF130" s="30">
        <f t="shared" ref="AF130:AF138" si="61">AD130+AE130</f>
        <v>397889.00000000006</v>
      </c>
      <c r="AG130" s="21" t="s">
        <v>857</v>
      </c>
      <c r="AH130" s="73" t="s">
        <v>1049</v>
      </c>
      <c r="AI130" s="30">
        <v>324878.98</v>
      </c>
      <c r="AJ130" s="30">
        <v>49687.360000000001</v>
      </c>
    </row>
    <row r="131" spans="1:36" ht="157.5" x14ac:dyDescent="0.25">
      <c r="A131" s="6">
        <v>128</v>
      </c>
      <c r="B131" s="31">
        <v>118774</v>
      </c>
      <c r="C131" s="11">
        <v>442</v>
      </c>
      <c r="D131" s="32" t="s">
        <v>1639</v>
      </c>
      <c r="E131" s="24" t="s">
        <v>507</v>
      </c>
      <c r="F131" s="11" t="s">
        <v>792</v>
      </c>
      <c r="G131" s="11" t="s">
        <v>793</v>
      </c>
      <c r="H131" s="11"/>
      <c r="I131" s="32" t="s">
        <v>862</v>
      </c>
      <c r="J131" s="25">
        <v>43341</v>
      </c>
      <c r="K131" s="25">
        <v>43798</v>
      </c>
      <c r="L131" s="26">
        <f t="shared" si="58"/>
        <v>84.999996337824783</v>
      </c>
      <c r="M131" s="40">
        <v>3</v>
      </c>
      <c r="N131" s="11" t="s">
        <v>1469</v>
      </c>
      <c r="O131" s="11" t="s">
        <v>1469</v>
      </c>
      <c r="P131" s="11" t="s">
        <v>174</v>
      </c>
      <c r="Q131" s="11" t="s">
        <v>34</v>
      </c>
      <c r="R131" s="30">
        <f t="shared" ref="R131:R138" si="62">S131+T131</f>
        <v>220497.36</v>
      </c>
      <c r="S131" s="30">
        <v>220497.36</v>
      </c>
      <c r="T131" s="30">
        <v>0</v>
      </c>
      <c r="U131" s="1">
        <f t="shared" si="59"/>
        <v>33723.14</v>
      </c>
      <c r="V131" s="80">
        <v>33723.14</v>
      </c>
      <c r="W131" s="42">
        <v>0</v>
      </c>
      <c r="X131" s="1">
        <f t="shared" si="60"/>
        <v>5188.17</v>
      </c>
      <c r="Y131" s="30">
        <v>5188.17</v>
      </c>
      <c r="Z131" s="30">
        <v>0</v>
      </c>
      <c r="AA131" s="2">
        <f t="shared" ref="AA131:AA138" si="63">AB131+AC131</f>
        <v>0</v>
      </c>
      <c r="AB131" s="30">
        <v>0</v>
      </c>
      <c r="AC131" s="30">
        <v>0</v>
      </c>
      <c r="AD131" s="16">
        <f t="shared" si="30"/>
        <v>259408.67</v>
      </c>
      <c r="AE131" s="35"/>
      <c r="AF131" s="2">
        <f t="shared" si="61"/>
        <v>259408.67</v>
      </c>
      <c r="AG131" s="21" t="s">
        <v>857</v>
      </c>
      <c r="AH131" s="73" t="s">
        <v>151</v>
      </c>
      <c r="AI131" s="30">
        <v>202807.57</v>
      </c>
      <c r="AJ131" s="30">
        <v>31017.620000000003</v>
      </c>
    </row>
    <row r="132" spans="1:36" ht="112.5" customHeight="1" x14ac:dyDescent="0.25">
      <c r="A132" s="6">
        <v>129</v>
      </c>
      <c r="B132" s="31">
        <v>119901</v>
      </c>
      <c r="C132" s="11">
        <v>486</v>
      </c>
      <c r="D132" s="9" t="s">
        <v>1638</v>
      </c>
      <c r="E132" s="32" t="s">
        <v>457</v>
      </c>
      <c r="F132" s="11" t="s">
        <v>880</v>
      </c>
      <c r="G132" s="11" t="s">
        <v>656</v>
      </c>
      <c r="H132" s="8" t="s">
        <v>151</v>
      </c>
      <c r="I132" s="12" t="s">
        <v>881</v>
      </c>
      <c r="J132" s="25">
        <v>43377</v>
      </c>
      <c r="K132" s="25">
        <v>43925</v>
      </c>
      <c r="L132" s="26">
        <f t="shared" si="58"/>
        <v>85.000004041383775</v>
      </c>
      <c r="M132" s="40">
        <v>3</v>
      </c>
      <c r="N132" s="11" t="s">
        <v>1469</v>
      </c>
      <c r="O132" s="11" t="s">
        <v>1469</v>
      </c>
      <c r="P132" s="11" t="s">
        <v>174</v>
      </c>
      <c r="Q132" s="11" t="s">
        <v>460</v>
      </c>
      <c r="R132" s="30">
        <f t="shared" si="62"/>
        <v>420648.02</v>
      </c>
      <c r="S132" s="30">
        <v>420648.02</v>
      </c>
      <c r="T132" s="36">
        <v>0</v>
      </c>
      <c r="U132" s="1">
        <f t="shared" si="59"/>
        <v>64334.38</v>
      </c>
      <c r="V132" s="81">
        <v>64334.38</v>
      </c>
      <c r="W132" s="55">
        <v>0</v>
      </c>
      <c r="X132" s="1">
        <f t="shared" si="60"/>
        <v>9897.6</v>
      </c>
      <c r="Y132" s="51">
        <v>9897.6</v>
      </c>
      <c r="Z132" s="51">
        <v>0</v>
      </c>
      <c r="AA132" s="2">
        <f t="shared" si="63"/>
        <v>0</v>
      </c>
      <c r="AB132" s="36">
        <v>0</v>
      </c>
      <c r="AC132" s="36">
        <v>0</v>
      </c>
      <c r="AD132" s="16">
        <f t="shared" si="30"/>
        <v>494880</v>
      </c>
      <c r="AE132" s="35"/>
      <c r="AF132" s="2">
        <f t="shared" si="61"/>
        <v>494880</v>
      </c>
      <c r="AG132" s="38" t="s">
        <v>857</v>
      </c>
      <c r="AH132" s="38" t="s">
        <v>1424</v>
      </c>
      <c r="AI132" s="30">
        <v>352319.13999999996</v>
      </c>
      <c r="AJ132" s="30">
        <v>53884.060000000019</v>
      </c>
    </row>
    <row r="133" spans="1:36" ht="243.75" customHeight="1" x14ac:dyDescent="0.25">
      <c r="A133" s="6">
        <v>130</v>
      </c>
      <c r="B133" s="31">
        <v>126537</v>
      </c>
      <c r="C133" s="11">
        <v>569</v>
      </c>
      <c r="D133" s="9" t="s">
        <v>1638</v>
      </c>
      <c r="E133" s="24" t="s">
        <v>899</v>
      </c>
      <c r="F133" s="11" t="s">
        <v>1042</v>
      </c>
      <c r="G133" s="11" t="s">
        <v>656</v>
      </c>
      <c r="H133" s="8" t="s">
        <v>151</v>
      </c>
      <c r="I133" s="12" t="s">
        <v>1043</v>
      </c>
      <c r="J133" s="25">
        <v>43567</v>
      </c>
      <c r="K133" s="25">
        <v>44542</v>
      </c>
      <c r="L133" s="26">
        <f t="shared" si="58"/>
        <v>85.000000206342506</v>
      </c>
      <c r="M133" s="40">
        <v>3</v>
      </c>
      <c r="N133" s="11" t="s">
        <v>1469</v>
      </c>
      <c r="O133" s="11" t="s">
        <v>1469</v>
      </c>
      <c r="P133" s="11" t="s">
        <v>174</v>
      </c>
      <c r="Q133" s="11" t="s">
        <v>460</v>
      </c>
      <c r="R133" s="30">
        <f t="shared" si="62"/>
        <v>3089523.44</v>
      </c>
      <c r="S133" s="30">
        <v>3089523.44</v>
      </c>
      <c r="T133" s="34">
        <v>0</v>
      </c>
      <c r="U133" s="1">
        <f t="shared" si="59"/>
        <v>472515.34</v>
      </c>
      <c r="V133" s="81">
        <v>472515.34</v>
      </c>
      <c r="W133" s="42">
        <v>0</v>
      </c>
      <c r="X133" s="1">
        <f t="shared" si="60"/>
        <v>72694.67</v>
      </c>
      <c r="Y133" s="30">
        <v>72694.67</v>
      </c>
      <c r="Z133" s="34">
        <v>0</v>
      </c>
      <c r="AA133" s="2">
        <f t="shared" si="63"/>
        <v>0</v>
      </c>
      <c r="AB133" s="34">
        <v>0</v>
      </c>
      <c r="AC133" s="34">
        <v>0</v>
      </c>
      <c r="AD133" s="16">
        <f t="shared" ref="AD133:AD196" si="64">R133+U133+X133+AA133</f>
        <v>3634733.4499999997</v>
      </c>
      <c r="AE133" s="30">
        <v>0</v>
      </c>
      <c r="AF133" s="2">
        <f t="shared" si="61"/>
        <v>3634733.4499999997</v>
      </c>
      <c r="AG133" s="38" t="s">
        <v>857</v>
      </c>
      <c r="AH133" s="38" t="s">
        <v>1779</v>
      </c>
      <c r="AI133" s="30">
        <f>101326.08+67116+473703.3+529750.17-28548.49+365060-26190.17+363473-46589.69+424740.4+162696.98+58778.47</f>
        <v>2445316.0500000003</v>
      </c>
      <c r="AJ133" s="30">
        <f>15496.93+26880.76+85630.48+46856.66+51827.17+46589.69+11245.13+80473.05+8989.65</f>
        <v>373989.52</v>
      </c>
    </row>
    <row r="134" spans="1:36" ht="141.75" x14ac:dyDescent="0.25">
      <c r="A134" s="6">
        <v>131</v>
      </c>
      <c r="B134" s="31">
        <v>129241</v>
      </c>
      <c r="C134" s="31">
        <v>650</v>
      </c>
      <c r="D134" s="9" t="s">
        <v>1638</v>
      </c>
      <c r="E134" s="82" t="s">
        <v>1071</v>
      </c>
      <c r="F134" s="31" t="s">
        <v>1078</v>
      </c>
      <c r="G134" s="11" t="s">
        <v>1650</v>
      </c>
      <c r="H134" s="8" t="s">
        <v>151</v>
      </c>
      <c r="I134" s="12" t="s">
        <v>1072</v>
      </c>
      <c r="J134" s="25">
        <v>43608</v>
      </c>
      <c r="K134" s="25">
        <v>44462</v>
      </c>
      <c r="L134" s="26">
        <f t="shared" si="58"/>
        <v>85.000000168986716</v>
      </c>
      <c r="M134" s="40">
        <v>3</v>
      </c>
      <c r="N134" s="11" t="s">
        <v>1469</v>
      </c>
      <c r="O134" s="11" t="s">
        <v>1469</v>
      </c>
      <c r="P134" s="11" t="s">
        <v>174</v>
      </c>
      <c r="Q134" s="11" t="s">
        <v>460</v>
      </c>
      <c r="R134" s="30">
        <f t="shared" si="62"/>
        <v>2514990.63</v>
      </c>
      <c r="S134" s="30">
        <v>2514990.63</v>
      </c>
      <c r="T134" s="34">
        <v>0</v>
      </c>
      <c r="U134" s="1">
        <f t="shared" si="59"/>
        <v>384645.62</v>
      </c>
      <c r="V134" s="81">
        <v>384645.62</v>
      </c>
      <c r="W134" s="42">
        <v>0</v>
      </c>
      <c r="X134" s="1">
        <f t="shared" si="60"/>
        <v>59176.25</v>
      </c>
      <c r="Y134" s="30">
        <v>59176.25</v>
      </c>
      <c r="Z134" s="30">
        <v>0</v>
      </c>
      <c r="AA134" s="2">
        <f t="shared" si="63"/>
        <v>0</v>
      </c>
      <c r="AB134" s="34">
        <v>0</v>
      </c>
      <c r="AC134" s="34">
        <v>0</v>
      </c>
      <c r="AD134" s="16">
        <f t="shared" si="64"/>
        <v>2958812.5</v>
      </c>
      <c r="AE134" s="30">
        <v>0</v>
      </c>
      <c r="AF134" s="2">
        <f t="shared" si="61"/>
        <v>2958812.5</v>
      </c>
      <c r="AG134" s="38" t="s">
        <v>857</v>
      </c>
      <c r="AH134" s="35"/>
      <c r="AI134" s="30">
        <f>81663.7+16254.4+2062406.83-2565.16+19337.36-2397.2+18071.2-2468.57+59069.22-2436.33+151871.2+1232.93</f>
        <v>2400039.5800000005</v>
      </c>
      <c r="AJ134" s="30">
        <f>9110.66+2608.32+315426.93+2565.16+2397.2+2468.57+6188+2436.33+23227.36+636.35</f>
        <v>367064.87999999995</v>
      </c>
    </row>
    <row r="135" spans="1:36" ht="141.75" x14ac:dyDescent="0.25">
      <c r="A135" s="6">
        <v>132</v>
      </c>
      <c r="B135" s="31">
        <v>129152</v>
      </c>
      <c r="C135" s="31">
        <v>656</v>
      </c>
      <c r="D135" s="9" t="s">
        <v>1638</v>
      </c>
      <c r="E135" s="82" t="str">
        <f>E134</f>
        <v>CP 12 less/2018</v>
      </c>
      <c r="F135" s="31" t="s">
        <v>1086</v>
      </c>
      <c r="G135" s="31" t="s">
        <v>793</v>
      </c>
      <c r="H135" s="8" t="s">
        <v>151</v>
      </c>
      <c r="I135" s="12" t="s">
        <v>1087</v>
      </c>
      <c r="J135" s="25">
        <v>43621</v>
      </c>
      <c r="K135" s="25">
        <v>44352</v>
      </c>
      <c r="L135" s="26">
        <f t="shared" si="58"/>
        <v>85.000000171199162</v>
      </c>
      <c r="M135" s="40">
        <f>M134</f>
        <v>3</v>
      </c>
      <c r="N135" s="11" t="s">
        <v>1469</v>
      </c>
      <c r="O135" s="11" t="s">
        <v>1469</v>
      </c>
      <c r="P135" s="11" t="s">
        <v>174</v>
      </c>
      <c r="Q135" s="11" t="s">
        <v>460</v>
      </c>
      <c r="R135" s="30">
        <f t="shared" si="62"/>
        <v>2482488.84</v>
      </c>
      <c r="S135" s="30">
        <v>2482488.84</v>
      </c>
      <c r="T135" s="34">
        <v>0</v>
      </c>
      <c r="U135" s="1">
        <f t="shared" si="59"/>
        <v>379674.76</v>
      </c>
      <c r="V135" s="81">
        <v>379674.76</v>
      </c>
      <c r="W135" s="42">
        <v>0</v>
      </c>
      <c r="X135" s="1">
        <f t="shared" si="60"/>
        <v>58411.5</v>
      </c>
      <c r="Y135" s="30">
        <v>58411.5</v>
      </c>
      <c r="Z135" s="30">
        <v>0</v>
      </c>
      <c r="AA135" s="2">
        <f t="shared" si="63"/>
        <v>0</v>
      </c>
      <c r="AB135" s="34">
        <v>0</v>
      </c>
      <c r="AC135" s="34">
        <v>0</v>
      </c>
      <c r="AD135" s="16">
        <f t="shared" si="64"/>
        <v>2920575.0999999996</v>
      </c>
      <c r="AE135" s="30">
        <v>11900</v>
      </c>
      <c r="AF135" s="2">
        <f t="shared" si="61"/>
        <v>2932475.0999999996</v>
      </c>
      <c r="AG135" s="38" t="s">
        <v>857</v>
      </c>
      <c r="AH135" s="35"/>
      <c r="AI135" s="30">
        <f>80009.94+18030.19+9429.9+12478.84+487781.48+546784.53+1249054.82+24937.15</f>
        <v>2428506.85</v>
      </c>
      <c r="AJ135" s="30">
        <f>12236.81+2757.56+1442.22+1908.53+74601.87+83625.87+191031.92+3813.91</f>
        <v>371418.69</v>
      </c>
    </row>
    <row r="136" spans="1:36" ht="189" x14ac:dyDescent="0.25">
      <c r="A136" s="6">
        <v>133</v>
      </c>
      <c r="B136" s="31">
        <v>135232</v>
      </c>
      <c r="C136" s="11">
        <v>816</v>
      </c>
      <c r="D136" s="9" t="s">
        <v>1638</v>
      </c>
      <c r="E136" s="24" t="s">
        <v>1441</v>
      </c>
      <c r="F136" s="11" t="s">
        <v>1468</v>
      </c>
      <c r="G136" s="31" t="s">
        <v>793</v>
      </c>
      <c r="H136" s="8" t="s">
        <v>151</v>
      </c>
      <c r="I136" s="12" t="s">
        <v>2667</v>
      </c>
      <c r="J136" s="25">
        <v>43969</v>
      </c>
      <c r="K136" s="25">
        <v>45064</v>
      </c>
      <c r="L136" s="26">
        <f t="shared" si="58"/>
        <v>85</v>
      </c>
      <c r="M136" s="11">
        <v>3</v>
      </c>
      <c r="N136" s="11" t="s">
        <v>1469</v>
      </c>
      <c r="O136" s="11" t="s">
        <v>1469</v>
      </c>
      <c r="P136" s="27" t="s">
        <v>174</v>
      </c>
      <c r="Q136" s="11" t="s">
        <v>34</v>
      </c>
      <c r="R136" s="30">
        <f t="shared" si="62"/>
        <v>2589746</v>
      </c>
      <c r="S136" s="2">
        <v>2589746</v>
      </c>
      <c r="T136" s="2">
        <v>0</v>
      </c>
      <c r="U136" s="1">
        <f t="shared" si="59"/>
        <v>396078.8</v>
      </c>
      <c r="V136" s="28">
        <v>396078.8</v>
      </c>
      <c r="W136" s="28">
        <v>0</v>
      </c>
      <c r="X136" s="1">
        <f t="shared" si="60"/>
        <v>60935.199999999997</v>
      </c>
      <c r="Y136" s="2">
        <v>60935.199999999997</v>
      </c>
      <c r="Z136" s="2">
        <v>0</v>
      </c>
      <c r="AA136" s="2">
        <f t="shared" si="63"/>
        <v>0</v>
      </c>
      <c r="AB136" s="2">
        <v>0</v>
      </c>
      <c r="AC136" s="2">
        <v>0</v>
      </c>
      <c r="AD136" s="16">
        <f t="shared" si="64"/>
        <v>3046760</v>
      </c>
      <c r="AE136" s="30">
        <v>0</v>
      </c>
      <c r="AF136" s="2">
        <f t="shared" si="61"/>
        <v>3046760</v>
      </c>
      <c r="AG136" s="38" t="s">
        <v>486</v>
      </c>
      <c r="AH136" s="38" t="s">
        <v>2200</v>
      </c>
      <c r="AI136" s="30">
        <f>51670.8+45861.75+67740.75+57973.4+510133.45</f>
        <v>733380.15</v>
      </c>
      <c r="AJ136" s="30">
        <f>7902.59+7014.15+10360.35+8866.52+78020.41</f>
        <v>112164.02</v>
      </c>
    </row>
    <row r="137" spans="1:36" ht="157.5" x14ac:dyDescent="0.25">
      <c r="A137" s="6">
        <v>134</v>
      </c>
      <c r="B137" s="31">
        <v>151944</v>
      </c>
      <c r="C137" s="11">
        <v>1124</v>
      </c>
      <c r="D137" s="9" t="s">
        <v>1639</v>
      </c>
      <c r="E137" s="24" t="s">
        <v>1801</v>
      </c>
      <c r="F137" s="31" t="s">
        <v>1848</v>
      </c>
      <c r="G137" s="31" t="s">
        <v>1650</v>
      </c>
      <c r="H137" s="11" t="s">
        <v>1827</v>
      </c>
      <c r="I137" s="12" t="s">
        <v>1850</v>
      </c>
      <c r="J137" s="25">
        <v>44498</v>
      </c>
      <c r="K137" s="25">
        <v>44955</v>
      </c>
      <c r="L137" s="26">
        <f t="shared" si="58"/>
        <v>85.000002989355309</v>
      </c>
      <c r="M137" s="11">
        <v>3</v>
      </c>
      <c r="N137" s="11" t="s">
        <v>1469</v>
      </c>
      <c r="O137" s="11" t="s">
        <v>1849</v>
      </c>
      <c r="P137" s="27" t="s">
        <v>174</v>
      </c>
      <c r="Q137" s="11" t="s">
        <v>34</v>
      </c>
      <c r="R137" s="30">
        <f t="shared" si="62"/>
        <v>255908.03</v>
      </c>
      <c r="S137" s="2">
        <v>255908.03</v>
      </c>
      <c r="T137" s="2">
        <v>0</v>
      </c>
      <c r="U137" s="1">
        <f t="shared" si="59"/>
        <v>32497.08</v>
      </c>
      <c r="V137" s="28">
        <v>32497.08</v>
      </c>
      <c r="W137" s="28">
        <v>0</v>
      </c>
      <c r="X137" s="1">
        <f t="shared" si="60"/>
        <v>12663.15</v>
      </c>
      <c r="Y137" s="2">
        <v>12663.15</v>
      </c>
      <c r="Z137" s="2">
        <v>0</v>
      </c>
      <c r="AA137" s="2">
        <f t="shared" si="63"/>
        <v>0</v>
      </c>
      <c r="AB137" s="2">
        <v>0</v>
      </c>
      <c r="AC137" s="2">
        <v>0</v>
      </c>
      <c r="AD137" s="16">
        <f t="shared" si="64"/>
        <v>301068.26</v>
      </c>
      <c r="AE137" s="30">
        <v>0</v>
      </c>
      <c r="AF137" s="2">
        <f t="shared" si="61"/>
        <v>301068.26</v>
      </c>
      <c r="AG137" s="38" t="s">
        <v>486</v>
      </c>
      <c r="AH137" s="35"/>
      <c r="AI137" s="30">
        <f>24900-3094.38+58702.4+13426.89+37172.63</f>
        <v>131107.54</v>
      </c>
      <c r="AJ137" s="30">
        <f>3094.38+8978.02+5685.22</f>
        <v>17757.620000000003</v>
      </c>
    </row>
    <row r="138" spans="1:36" ht="157.5" x14ac:dyDescent="0.25">
      <c r="A138" s="6">
        <v>135</v>
      </c>
      <c r="B138" s="31">
        <v>155166</v>
      </c>
      <c r="C138" s="11">
        <v>1210</v>
      </c>
      <c r="D138" s="9" t="s">
        <v>1638</v>
      </c>
      <c r="E138" s="24" t="s">
        <v>2012</v>
      </c>
      <c r="F138" s="31" t="s">
        <v>2220</v>
      </c>
      <c r="G138" s="31" t="s">
        <v>656</v>
      </c>
      <c r="H138" s="8" t="s">
        <v>151</v>
      </c>
      <c r="I138" s="12" t="s">
        <v>2221</v>
      </c>
      <c r="J138" s="25">
        <v>44706</v>
      </c>
      <c r="K138" s="25">
        <v>45194</v>
      </c>
      <c r="L138" s="26">
        <f t="shared" si="58"/>
        <v>84.999999949699884</v>
      </c>
      <c r="M138" s="11">
        <v>3</v>
      </c>
      <c r="N138" s="11" t="s">
        <v>1469</v>
      </c>
      <c r="O138" s="11" t="s">
        <v>1469</v>
      </c>
      <c r="P138" s="27" t="s">
        <v>174</v>
      </c>
      <c r="Q138" s="11" t="s">
        <v>34</v>
      </c>
      <c r="R138" s="30">
        <f t="shared" si="62"/>
        <v>2534785.84</v>
      </c>
      <c r="S138" s="2">
        <v>2534785.84</v>
      </c>
      <c r="T138" s="2">
        <v>0</v>
      </c>
      <c r="U138" s="1">
        <f t="shared" si="59"/>
        <v>387673.13</v>
      </c>
      <c r="V138" s="28">
        <v>387673.13</v>
      </c>
      <c r="W138" s="28">
        <v>0</v>
      </c>
      <c r="X138" s="1">
        <f t="shared" si="60"/>
        <v>59642.02</v>
      </c>
      <c r="Y138" s="2">
        <v>59642.02</v>
      </c>
      <c r="Z138" s="2">
        <v>0</v>
      </c>
      <c r="AA138" s="2">
        <f t="shared" si="63"/>
        <v>0</v>
      </c>
      <c r="AB138" s="2">
        <v>0</v>
      </c>
      <c r="AC138" s="2">
        <v>0</v>
      </c>
      <c r="AD138" s="16">
        <f t="shared" si="64"/>
        <v>2982100.9899999998</v>
      </c>
      <c r="AE138" s="30">
        <v>0</v>
      </c>
      <c r="AF138" s="2">
        <f t="shared" si="61"/>
        <v>2982100.9899999998</v>
      </c>
      <c r="AG138" s="38" t="s">
        <v>486</v>
      </c>
      <c r="AH138" s="35"/>
      <c r="AI138" s="30">
        <v>298210.09000000003</v>
      </c>
      <c r="AJ138" s="30">
        <v>0</v>
      </c>
    </row>
    <row r="139" spans="1:36" ht="220.5" x14ac:dyDescent="0.25">
      <c r="A139" s="6">
        <v>136</v>
      </c>
      <c r="B139" s="31">
        <v>120791</v>
      </c>
      <c r="C139" s="11">
        <v>88</v>
      </c>
      <c r="D139" s="9" t="s">
        <v>1638</v>
      </c>
      <c r="E139" s="24" t="s">
        <v>277</v>
      </c>
      <c r="F139" s="11" t="s">
        <v>282</v>
      </c>
      <c r="G139" s="11" t="s">
        <v>1659</v>
      </c>
      <c r="H139" s="27" t="s">
        <v>283</v>
      </c>
      <c r="I139" s="45" t="s">
        <v>284</v>
      </c>
      <c r="J139" s="25">
        <v>43180</v>
      </c>
      <c r="K139" s="25">
        <v>43667</v>
      </c>
      <c r="L139" s="26">
        <f t="shared" ref="L139:L145" si="65">R139/AD139*100</f>
        <v>84.174275146898083</v>
      </c>
      <c r="M139" s="11">
        <v>5</v>
      </c>
      <c r="N139" s="11" t="s">
        <v>285</v>
      </c>
      <c r="O139" s="11" t="s">
        <v>286</v>
      </c>
      <c r="P139" s="27" t="s">
        <v>174</v>
      </c>
      <c r="Q139" s="11" t="s">
        <v>34</v>
      </c>
      <c r="R139" s="1">
        <f t="shared" ref="R139:R145" si="66">S139+T139</f>
        <v>316573.06</v>
      </c>
      <c r="S139" s="2">
        <v>316573.06</v>
      </c>
      <c r="T139" s="2">
        <v>0</v>
      </c>
      <c r="U139" s="1">
        <f t="shared" si="59"/>
        <v>51997.5</v>
      </c>
      <c r="V139" s="28">
        <v>51997.5</v>
      </c>
      <c r="W139" s="28">
        <v>0</v>
      </c>
      <c r="X139" s="1">
        <f t="shared" si="60"/>
        <v>7521.85</v>
      </c>
      <c r="Y139" s="2">
        <v>7521.85</v>
      </c>
      <c r="Z139" s="2">
        <v>0</v>
      </c>
      <c r="AA139" s="2">
        <f t="shared" ref="AA139:AA145" si="67">AB139+AC139</f>
        <v>0</v>
      </c>
      <c r="AB139" s="2">
        <v>0</v>
      </c>
      <c r="AC139" s="2">
        <v>0</v>
      </c>
      <c r="AD139" s="16">
        <f t="shared" si="64"/>
        <v>376092.41</v>
      </c>
      <c r="AE139" s="2">
        <v>0</v>
      </c>
      <c r="AF139" s="2">
        <f t="shared" ref="AF139:AF145" si="68">AD139+AE139</f>
        <v>376092.41</v>
      </c>
      <c r="AG139" s="21" t="s">
        <v>857</v>
      </c>
      <c r="AH139" s="29" t="s">
        <v>151</v>
      </c>
      <c r="AI139" s="30">
        <v>249647.94000000006</v>
      </c>
      <c r="AJ139" s="30">
        <v>41012.170000000006</v>
      </c>
    </row>
    <row r="140" spans="1:36" ht="189" x14ac:dyDescent="0.25">
      <c r="A140" s="6">
        <v>137</v>
      </c>
      <c r="B140" s="11">
        <v>128386</v>
      </c>
      <c r="C140" s="11">
        <v>657</v>
      </c>
      <c r="D140" s="9" t="s">
        <v>1638</v>
      </c>
      <c r="E140" s="82" t="s">
        <v>1071</v>
      </c>
      <c r="F140" s="11" t="s">
        <v>1076</v>
      </c>
      <c r="G140" s="83" t="s">
        <v>1473</v>
      </c>
      <c r="H140" s="8" t="s">
        <v>151</v>
      </c>
      <c r="I140" s="84" t="s">
        <v>2668</v>
      </c>
      <c r="J140" s="25">
        <v>43613</v>
      </c>
      <c r="K140" s="25">
        <v>45074</v>
      </c>
      <c r="L140" s="26">
        <f t="shared" si="65"/>
        <v>84.999999962468991</v>
      </c>
      <c r="M140" s="11">
        <v>5</v>
      </c>
      <c r="N140" s="11" t="s">
        <v>285</v>
      </c>
      <c r="O140" s="85" t="s">
        <v>1077</v>
      </c>
      <c r="P140" s="27" t="s">
        <v>174</v>
      </c>
      <c r="Q140" s="11" t="s">
        <v>34</v>
      </c>
      <c r="R140" s="1">
        <f t="shared" si="66"/>
        <v>3397190.5700000003</v>
      </c>
      <c r="S140" s="2">
        <v>3397190.5700000003</v>
      </c>
      <c r="T140" s="2">
        <v>0</v>
      </c>
      <c r="U140" s="1">
        <f t="shared" si="59"/>
        <v>519570.32000000007</v>
      </c>
      <c r="V140" s="28">
        <v>519570.32000000007</v>
      </c>
      <c r="W140" s="28">
        <v>0</v>
      </c>
      <c r="X140" s="1">
        <f t="shared" si="60"/>
        <v>79933.900000000009</v>
      </c>
      <c r="Y140" s="2">
        <v>79933.900000000009</v>
      </c>
      <c r="Z140" s="2">
        <v>0</v>
      </c>
      <c r="AA140" s="2">
        <f t="shared" si="67"/>
        <v>0</v>
      </c>
      <c r="AB140" s="2">
        <v>0</v>
      </c>
      <c r="AC140" s="2">
        <v>0</v>
      </c>
      <c r="AD140" s="16">
        <f t="shared" si="64"/>
        <v>3996694.7900000005</v>
      </c>
      <c r="AE140" s="2">
        <v>78502.27</v>
      </c>
      <c r="AF140" s="2">
        <f t="shared" si="68"/>
        <v>4075197.0600000005</v>
      </c>
      <c r="AG140" s="38" t="s">
        <v>486</v>
      </c>
      <c r="AH140" s="29" t="s">
        <v>2371</v>
      </c>
      <c r="AI140" s="30">
        <f>361593.44+96748.7+399669-26609.64-12754.89+399669-50426.81+380140.61</f>
        <v>1548029.4099999997</v>
      </c>
      <c r="AJ140" s="30">
        <f>55302.51+14796.86+26609.64+28495.74+50426.81</f>
        <v>175631.56</v>
      </c>
    </row>
    <row r="141" spans="1:36" ht="130.5" customHeight="1" x14ac:dyDescent="0.25">
      <c r="A141" s="6">
        <v>138</v>
      </c>
      <c r="B141" s="11">
        <v>128739</v>
      </c>
      <c r="C141" s="11">
        <v>630</v>
      </c>
      <c r="D141" s="9" t="s">
        <v>1638</v>
      </c>
      <c r="E141" s="82" t="s">
        <v>1071</v>
      </c>
      <c r="F141" s="31" t="s">
        <v>1140</v>
      </c>
      <c r="G141" s="11" t="s">
        <v>1659</v>
      </c>
      <c r="H141" s="8" t="s">
        <v>151</v>
      </c>
      <c r="I141" s="84" t="s">
        <v>2669</v>
      </c>
      <c r="J141" s="25">
        <v>43654</v>
      </c>
      <c r="K141" s="25">
        <v>44965</v>
      </c>
      <c r="L141" s="26">
        <f t="shared" si="65"/>
        <v>85.000000167824169</v>
      </c>
      <c r="M141" s="11">
        <v>5</v>
      </c>
      <c r="N141" s="11" t="s">
        <v>285</v>
      </c>
      <c r="O141" s="11" t="s">
        <v>286</v>
      </c>
      <c r="P141" s="27" t="s">
        <v>174</v>
      </c>
      <c r="Q141" s="11" t="s">
        <v>34</v>
      </c>
      <c r="R141" s="1">
        <f t="shared" si="66"/>
        <v>2532412.23</v>
      </c>
      <c r="S141" s="2">
        <v>2532412.23</v>
      </c>
      <c r="T141" s="2">
        <v>0</v>
      </c>
      <c r="U141" s="1">
        <f t="shared" si="59"/>
        <v>387310.1</v>
      </c>
      <c r="V141" s="28">
        <v>387310.1</v>
      </c>
      <c r="W141" s="28">
        <v>0</v>
      </c>
      <c r="X141" s="1">
        <f t="shared" si="60"/>
        <v>59586.17</v>
      </c>
      <c r="Y141" s="2">
        <v>59586.17</v>
      </c>
      <c r="Z141" s="2">
        <v>0</v>
      </c>
      <c r="AA141" s="2">
        <f t="shared" si="67"/>
        <v>0</v>
      </c>
      <c r="AB141" s="2">
        <v>0</v>
      </c>
      <c r="AC141" s="2">
        <v>0</v>
      </c>
      <c r="AD141" s="16">
        <f t="shared" si="64"/>
        <v>2979308.5</v>
      </c>
      <c r="AE141" s="2">
        <v>0</v>
      </c>
      <c r="AF141" s="2">
        <f t="shared" si="68"/>
        <v>2979308.5</v>
      </c>
      <c r="AG141" s="38" t="s">
        <v>486</v>
      </c>
      <c r="AH141" s="29" t="s">
        <v>3261</v>
      </c>
      <c r="AI141" s="30">
        <f>61209.43-1190.67+16783.71+51674+5984.38+156268</f>
        <v>290728.84999999998</v>
      </c>
      <c r="AJ141" s="30">
        <f>4447.07+1190.67+6108.52+8818.34</f>
        <v>20564.599999999999</v>
      </c>
    </row>
    <row r="142" spans="1:36" ht="130.5" customHeight="1" x14ac:dyDescent="0.25">
      <c r="A142" s="6">
        <v>139</v>
      </c>
      <c r="B142" s="11">
        <v>135523</v>
      </c>
      <c r="C142" s="11">
        <v>831</v>
      </c>
      <c r="D142" s="9" t="s">
        <v>1638</v>
      </c>
      <c r="E142" s="24" t="s">
        <v>1441</v>
      </c>
      <c r="F142" s="31" t="s">
        <v>1471</v>
      </c>
      <c r="G142" s="83" t="s">
        <v>1473</v>
      </c>
      <c r="H142" s="11" t="s">
        <v>1472</v>
      </c>
      <c r="I142" s="12" t="s">
        <v>2670</v>
      </c>
      <c r="J142" s="25">
        <v>43969</v>
      </c>
      <c r="K142" s="25">
        <v>45064</v>
      </c>
      <c r="L142" s="26">
        <f t="shared" si="65"/>
        <v>85.000000126847326</v>
      </c>
      <c r="M142" s="11">
        <v>5</v>
      </c>
      <c r="N142" s="11" t="s">
        <v>285</v>
      </c>
      <c r="O142" s="11" t="s">
        <v>1473</v>
      </c>
      <c r="P142" s="27" t="s">
        <v>174</v>
      </c>
      <c r="Q142" s="11" t="s">
        <v>34</v>
      </c>
      <c r="R142" s="1">
        <f>S142+T142</f>
        <v>3350484.53</v>
      </c>
      <c r="S142" s="2">
        <v>3350484.53</v>
      </c>
      <c r="T142" s="2">
        <v>0</v>
      </c>
      <c r="U142" s="1">
        <f t="shared" si="59"/>
        <v>512427.03</v>
      </c>
      <c r="V142" s="28">
        <v>512427.03</v>
      </c>
      <c r="W142" s="28">
        <v>0</v>
      </c>
      <c r="X142" s="1">
        <f t="shared" si="60"/>
        <v>78834.94</v>
      </c>
      <c r="Y142" s="2">
        <v>78834.94</v>
      </c>
      <c r="Z142" s="2">
        <v>0</v>
      </c>
      <c r="AA142" s="2">
        <f t="shared" si="67"/>
        <v>0</v>
      </c>
      <c r="AB142" s="2">
        <v>0</v>
      </c>
      <c r="AC142" s="2">
        <v>0</v>
      </c>
      <c r="AD142" s="16">
        <f t="shared" si="64"/>
        <v>3941746.4999999995</v>
      </c>
      <c r="AE142" s="2">
        <v>0</v>
      </c>
      <c r="AF142" s="2">
        <f t="shared" si="68"/>
        <v>3941746.4999999995</v>
      </c>
      <c r="AG142" s="38" t="s">
        <v>486</v>
      </c>
      <c r="AH142" s="29" t="s">
        <v>2541</v>
      </c>
      <c r="AI142" s="30">
        <f>226408.43-15004.21+54632.06+92434.65+226408.43+163483.98+81420.63+335505.45</f>
        <v>1165289.4200000002</v>
      </c>
      <c r="AJ142" s="30">
        <f>15004.21+39820.75+54121.31+17961.87</f>
        <v>126908.13999999998</v>
      </c>
    </row>
    <row r="143" spans="1:36" ht="130.5" customHeight="1" x14ac:dyDescent="0.25">
      <c r="A143" s="6">
        <v>140</v>
      </c>
      <c r="B143" s="11">
        <v>136349</v>
      </c>
      <c r="C143" s="11">
        <v>834</v>
      </c>
      <c r="D143" s="9" t="s">
        <v>1638</v>
      </c>
      <c r="E143" s="24" t="s">
        <v>1441</v>
      </c>
      <c r="F143" s="31" t="s">
        <v>1485</v>
      </c>
      <c r="G143" s="11" t="s">
        <v>1659</v>
      </c>
      <c r="H143" s="8" t="s">
        <v>151</v>
      </c>
      <c r="I143" s="12" t="s">
        <v>2671</v>
      </c>
      <c r="J143" s="25">
        <v>43969</v>
      </c>
      <c r="K143" s="25">
        <v>44883</v>
      </c>
      <c r="L143" s="26">
        <f t="shared" si="65"/>
        <v>85</v>
      </c>
      <c r="M143" s="11">
        <v>5</v>
      </c>
      <c r="N143" s="11" t="s">
        <v>285</v>
      </c>
      <c r="O143" s="11" t="s">
        <v>286</v>
      </c>
      <c r="P143" s="27" t="s">
        <v>174</v>
      </c>
      <c r="Q143" s="11" t="s">
        <v>34</v>
      </c>
      <c r="R143" s="1">
        <f t="shared" si="66"/>
        <v>2447700.7999999998</v>
      </c>
      <c r="S143" s="2">
        <v>2447700.7999999998</v>
      </c>
      <c r="T143" s="2">
        <v>0</v>
      </c>
      <c r="U143" s="1">
        <f>V143+W143</f>
        <v>374354.24</v>
      </c>
      <c r="V143" s="28">
        <v>374354.24</v>
      </c>
      <c r="W143" s="28">
        <v>0</v>
      </c>
      <c r="X143" s="1">
        <f t="shared" si="60"/>
        <v>57592.959999999999</v>
      </c>
      <c r="Y143" s="2">
        <v>57592.959999999999</v>
      </c>
      <c r="Z143" s="2">
        <v>0</v>
      </c>
      <c r="AA143" s="2">
        <f t="shared" si="67"/>
        <v>0</v>
      </c>
      <c r="AB143" s="2">
        <v>0</v>
      </c>
      <c r="AC143" s="2">
        <v>0</v>
      </c>
      <c r="AD143" s="16">
        <f t="shared" si="64"/>
        <v>2879648</v>
      </c>
      <c r="AE143" s="2">
        <v>0</v>
      </c>
      <c r="AF143" s="2">
        <f t="shared" si="68"/>
        <v>2879648</v>
      </c>
      <c r="AG143" s="38" t="s">
        <v>486</v>
      </c>
      <c r="AH143" s="29" t="s">
        <v>151</v>
      </c>
      <c r="AI143" s="30">
        <f>85000+81913.12-6938.61+68223.46</f>
        <v>228197.97000000003</v>
      </c>
      <c r="AJ143" s="30">
        <f>16086.88+6938.61+11875.37</f>
        <v>34900.86</v>
      </c>
    </row>
    <row r="144" spans="1:36" ht="130.5" customHeight="1" x14ac:dyDescent="0.25">
      <c r="A144" s="6">
        <v>141</v>
      </c>
      <c r="B144" s="11">
        <v>135786</v>
      </c>
      <c r="C144" s="11">
        <v>818</v>
      </c>
      <c r="D144" s="9" t="s">
        <v>1638</v>
      </c>
      <c r="E144" s="24" t="s">
        <v>1441</v>
      </c>
      <c r="F144" s="31" t="s">
        <v>1593</v>
      </c>
      <c r="G144" s="31" t="s">
        <v>1592</v>
      </c>
      <c r="H144" s="8" t="s">
        <v>151</v>
      </c>
      <c r="I144" s="12" t="s">
        <v>2672</v>
      </c>
      <c r="J144" s="25">
        <v>44035</v>
      </c>
      <c r="K144" s="25">
        <v>44765</v>
      </c>
      <c r="L144" s="26">
        <f t="shared" si="65"/>
        <v>84.999999898090948</v>
      </c>
      <c r="M144" s="11">
        <v>5</v>
      </c>
      <c r="N144" s="11" t="s">
        <v>285</v>
      </c>
      <c r="O144" s="11" t="s">
        <v>286</v>
      </c>
      <c r="P144" s="27" t="s">
        <v>174</v>
      </c>
      <c r="Q144" s="11" t="s">
        <v>34</v>
      </c>
      <c r="R144" s="1">
        <f t="shared" si="66"/>
        <v>2502231</v>
      </c>
      <c r="S144" s="2">
        <v>2502231</v>
      </c>
      <c r="T144" s="2">
        <v>0</v>
      </c>
      <c r="U144" s="1">
        <f>V144+W144</f>
        <v>382694.15</v>
      </c>
      <c r="V144" s="28">
        <v>382694.15</v>
      </c>
      <c r="W144" s="28">
        <v>0</v>
      </c>
      <c r="X144" s="1">
        <f t="shared" si="60"/>
        <v>58876.03</v>
      </c>
      <c r="Y144" s="2">
        <v>58876.03</v>
      </c>
      <c r="Z144" s="2">
        <v>0</v>
      </c>
      <c r="AA144" s="2">
        <f t="shared" si="67"/>
        <v>0</v>
      </c>
      <c r="AB144" s="2">
        <v>0</v>
      </c>
      <c r="AC144" s="2">
        <v>0</v>
      </c>
      <c r="AD144" s="16">
        <f t="shared" si="64"/>
        <v>2943801.1799999997</v>
      </c>
      <c r="AE144" s="2">
        <v>0</v>
      </c>
      <c r="AF144" s="2">
        <f t="shared" si="68"/>
        <v>2943801.1799999997</v>
      </c>
      <c r="AG144" s="38" t="s">
        <v>857</v>
      </c>
      <c r="AH144" s="29" t="s">
        <v>151</v>
      </c>
      <c r="AI144" s="30">
        <f>155929.74+96350.05+226793.38+174305.99+318622.5+217396.4+318622.5+283145.11</f>
        <v>1791165.67</v>
      </c>
      <c r="AJ144" s="30">
        <f>23848.08+14735.89+34686.04+26658.56+48730.5+33248.86+48730.5+43304.55</f>
        <v>273942.98</v>
      </c>
    </row>
    <row r="145" spans="1:36" ht="130.5" customHeight="1" x14ac:dyDescent="0.25">
      <c r="A145" s="6">
        <v>142</v>
      </c>
      <c r="B145" s="11">
        <v>154621</v>
      </c>
      <c r="C145" s="11">
        <v>1243</v>
      </c>
      <c r="D145" s="9" t="s">
        <v>1638</v>
      </c>
      <c r="E145" s="24" t="s">
        <v>2012</v>
      </c>
      <c r="F145" s="31" t="s">
        <v>2214</v>
      </c>
      <c r="G145" s="31" t="s">
        <v>2213</v>
      </c>
      <c r="H145" s="8" t="s">
        <v>151</v>
      </c>
      <c r="I145" s="12" t="s">
        <v>2673</v>
      </c>
      <c r="J145" s="25">
        <v>44700</v>
      </c>
      <c r="K145" s="25">
        <v>45188</v>
      </c>
      <c r="L145" s="26">
        <f t="shared" si="65"/>
        <v>85.000000644961489</v>
      </c>
      <c r="M145" s="11">
        <v>5</v>
      </c>
      <c r="N145" s="11" t="s">
        <v>285</v>
      </c>
      <c r="O145" s="11" t="s">
        <v>286</v>
      </c>
      <c r="P145" s="27" t="s">
        <v>174</v>
      </c>
      <c r="Q145" s="11" t="s">
        <v>34</v>
      </c>
      <c r="R145" s="1">
        <f t="shared" si="66"/>
        <v>1515594.39</v>
      </c>
      <c r="S145" s="2">
        <v>1515594.39</v>
      </c>
      <c r="T145" s="2">
        <v>0</v>
      </c>
      <c r="U145" s="1">
        <f>V145+W145</f>
        <v>231796.78</v>
      </c>
      <c r="V145" s="28">
        <v>231796.78</v>
      </c>
      <c r="W145" s="28">
        <v>0</v>
      </c>
      <c r="X145" s="1">
        <f t="shared" si="60"/>
        <v>35661.040000000001</v>
      </c>
      <c r="Y145" s="2">
        <v>35661.040000000001</v>
      </c>
      <c r="Z145" s="2">
        <v>0</v>
      </c>
      <c r="AA145" s="2">
        <f t="shared" si="67"/>
        <v>0</v>
      </c>
      <c r="AB145" s="2">
        <v>0</v>
      </c>
      <c r="AC145" s="2">
        <v>0</v>
      </c>
      <c r="AD145" s="16">
        <f t="shared" si="64"/>
        <v>1783052.21</v>
      </c>
      <c r="AE145" s="2">
        <v>0</v>
      </c>
      <c r="AF145" s="2">
        <f t="shared" si="68"/>
        <v>1783052.21</v>
      </c>
      <c r="AG145" s="38" t="s">
        <v>486</v>
      </c>
      <c r="AH145" s="29" t="s">
        <v>151</v>
      </c>
      <c r="AI145" s="30">
        <v>178305.21</v>
      </c>
      <c r="AJ145" s="30">
        <v>0</v>
      </c>
    </row>
    <row r="146" spans="1:36" ht="220.5" x14ac:dyDescent="0.25">
      <c r="A146" s="6">
        <v>143</v>
      </c>
      <c r="B146" s="31">
        <v>120583</v>
      </c>
      <c r="C146" s="11">
        <v>77</v>
      </c>
      <c r="D146" s="9" t="s">
        <v>1638</v>
      </c>
      <c r="E146" s="24" t="s">
        <v>277</v>
      </c>
      <c r="F146" s="11" t="s">
        <v>176</v>
      </c>
      <c r="G146" s="11" t="s">
        <v>947</v>
      </c>
      <c r="H146" s="8" t="s">
        <v>151</v>
      </c>
      <c r="I146" s="46" t="s">
        <v>180</v>
      </c>
      <c r="J146" s="25">
        <v>43126</v>
      </c>
      <c r="K146" s="25">
        <v>43369</v>
      </c>
      <c r="L146" s="26">
        <f t="shared" ref="L146:L162" si="69">R146/AD146*100</f>
        <v>84.999999763641128</v>
      </c>
      <c r="M146" s="11">
        <v>6</v>
      </c>
      <c r="N146" s="11" t="s">
        <v>182</v>
      </c>
      <c r="O146" s="11" t="s">
        <v>183</v>
      </c>
      <c r="P146" s="27" t="s">
        <v>174</v>
      </c>
      <c r="Q146" s="11" t="s">
        <v>34</v>
      </c>
      <c r="R146" s="1">
        <f t="shared" ref="R146:R162" si="70">S146+T146</f>
        <v>359622.64</v>
      </c>
      <c r="S146" s="2">
        <v>359622.64</v>
      </c>
      <c r="T146" s="2">
        <v>0</v>
      </c>
      <c r="U146" s="1">
        <f t="shared" ref="U146:U160" si="71">V146+W146</f>
        <v>55001.11</v>
      </c>
      <c r="V146" s="28">
        <v>55001.11</v>
      </c>
      <c r="W146" s="28">
        <v>0</v>
      </c>
      <c r="X146" s="1">
        <f t="shared" ref="X146:X162" si="72">Y146+Z146</f>
        <v>8461.7099999999991</v>
      </c>
      <c r="Y146" s="2">
        <v>8461.7099999999991</v>
      </c>
      <c r="Z146" s="2">
        <v>0</v>
      </c>
      <c r="AA146" s="2">
        <f t="shared" ref="AA146:AA162" si="73">AB146+AC146</f>
        <v>0</v>
      </c>
      <c r="AB146" s="2">
        <v>0</v>
      </c>
      <c r="AC146" s="2">
        <v>0</v>
      </c>
      <c r="AD146" s="16">
        <f t="shared" si="64"/>
        <v>423085.46</v>
      </c>
      <c r="AE146" s="2">
        <v>0</v>
      </c>
      <c r="AF146" s="2">
        <f t="shared" ref="AF146:AF162" si="74">AD146+AE146</f>
        <v>423085.46</v>
      </c>
      <c r="AG146" s="21" t="s">
        <v>857</v>
      </c>
      <c r="AH146" s="29" t="s">
        <v>151</v>
      </c>
      <c r="AI146" s="30">
        <v>300081.25</v>
      </c>
      <c r="AJ146" s="30">
        <v>45894.78</v>
      </c>
    </row>
    <row r="147" spans="1:36" ht="141.75" x14ac:dyDescent="0.25">
      <c r="A147" s="6">
        <v>144</v>
      </c>
      <c r="B147" s="31">
        <v>110080</v>
      </c>
      <c r="C147" s="11">
        <v>118</v>
      </c>
      <c r="D147" s="9" t="s">
        <v>1638</v>
      </c>
      <c r="E147" s="24" t="s">
        <v>277</v>
      </c>
      <c r="F147" s="11" t="s">
        <v>256</v>
      </c>
      <c r="G147" s="11" t="s">
        <v>257</v>
      </c>
      <c r="H147" s="8" t="s">
        <v>151</v>
      </c>
      <c r="I147" s="12" t="s">
        <v>258</v>
      </c>
      <c r="J147" s="25">
        <v>43171</v>
      </c>
      <c r="K147" s="25">
        <v>43658</v>
      </c>
      <c r="L147" s="26">
        <f t="shared" si="69"/>
        <v>84.9999996799977</v>
      </c>
      <c r="M147" s="11">
        <v>6</v>
      </c>
      <c r="N147" s="11" t="s">
        <v>182</v>
      </c>
      <c r="O147" s="11" t="s">
        <v>394</v>
      </c>
      <c r="P147" s="27" t="s">
        <v>174</v>
      </c>
      <c r="Q147" s="11" t="s">
        <v>34</v>
      </c>
      <c r="R147" s="1">
        <f t="shared" si="70"/>
        <v>531246.18999999994</v>
      </c>
      <c r="S147" s="2">
        <v>531246.18999999994</v>
      </c>
      <c r="T147" s="2">
        <v>0</v>
      </c>
      <c r="U147" s="1">
        <f t="shared" si="71"/>
        <v>81249.41</v>
      </c>
      <c r="V147" s="28">
        <v>81249.41</v>
      </c>
      <c r="W147" s="28">
        <v>0</v>
      </c>
      <c r="X147" s="1">
        <f t="shared" si="72"/>
        <v>12499.92</v>
      </c>
      <c r="Y147" s="2">
        <v>12499.92</v>
      </c>
      <c r="Z147" s="2">
        <v>0</v>
      </c>
      <c r="AA147" s="2">
        <f t="shared" si="73"/>
        <v>0</v>
      </c>
      <c r="AB147" s="2">
        <v>0</v>
      </c>
      <c r="AC147" s="2">
        <v>0</v>
      </c>
      <c r="AD147" s="16">
        <f t="shared" si="64"/>
        <v>624995.52</v>
      </c>
      <c r="AE147" s="2">
        <v>0</v>
      </c>
      <c r="AF147" s="2">
        <f t="shared" si="74"/>
        <v>624995.52</v>
      </c>
      <c r="AG147" s="21" t="s">
        <v>857</v>
      </c>
      <c r="AH147" s="29" t="s">
        <v>151</v>
      </c>
      <c r="AI147" s="30">
        <v>425198.5</v>
      </c>
      <c r="AJ147" s="30">
        <v>65030.360000000015</v>
      </c>
    </row>
    <row r="148" spans="1:36" ht="204.75" x14ac:dyDescent="0.25">
      <c r="A148" s="6">
        <v>145</v>
      </c>
      <c r="B148" s="31">
        <v>120588</v>
      </c>
      <c r="C148" s="11">
        <v>104</v>
      </c>
      <c r="D148" s="9" t="s">
        <v>1638</v>
      </c>
      <c r="E148" s="24" t="s">
        <v>277</v>
      </c>
      <c r="F148" s="11" t="s">
        <v>326</v>
      </c>
      <c r="G148" s="11" t="s">
        <v>1651</v>
      </c>
      <c r="H148" s="8" t="s">
        <v>151</v>
      </c>
      <c r="I148" s="12" t="s">
        <v>327</v>
      </c>
      <c r="J148" s="25">
        <v>43201</v>
      </c>
      <c r="K148" s="25">
        <v>43749</v>
      </c>
      <c r="L148" s="26">
        <f t="shared" si="69"/>
        <v>85.000000000000014</v>
      </c>
      <c r="M148" s="11">
        <v>6</v>
      </c>
      <c r="N148" s="11" t="s">
        <v>182</v>
      </c>
      <c r="O148" s="11" t="s">
        <v>394</v>
      </c>
      <c r="P148" s="27" t="s">
        <v>174</v>
      </c>
      <c r="Q148" s="11" t="s">
        <v>34</v>
      </c>
      <c r="R148" s="1">
        <f t="shared" si="70"/>
        <v>354701.26</v>
      </c>
      <c r="S148" s="2">
        <v>354701.26</v>
      </c>
      <c r="T148" s="2">
        <v>0</v>
      </c>
      <c r="U148" s="1">
        <f t="shared" si="71"/>
        <v>54248.43</v>
      </c>
      <c r="V148" s="28">
        <v>54248.43</v>
      </c>
      <c r="W148" s="28">
        <v>0</v>
      </c>
      <c r="X148" s="1">
        <f t="shared" si="72"/>
        <v>8345.91</v>
      </c>
      <c r="Y148" s="2">
        <v>8345.91</v>
      </c>
      <c r="Z148" s="2">
        <v>0</v>
      </c>
      <c r="AA148" s="2">
        <f t="shared" si="73"/>
        <v>0</v>
      </c>
      <c r="AB148" s="2">
        <v>0</v>
      </c>
      <c r="AC148" s="2">
        <v>0</v>
      </c>
      <c r="AD148" s="16">
        <f t="shared" si="64"/>
        <v>417295.6</v>
      </c>
      <c r="AE148" s="2">
        <v>0</v>
      </c>
      <c r="AF148" s="2">
        <f t="shared" si="74"/>
        <v>417295.6</v>
      </c>
      <c r="AG148" s="21" t="s">
        <v>857</v>
      </c>
      <c r="AH148" s="29" t="s">
        <v>1047</v>
      </c>
      <c r="AI148" s="30">
        <v>329554.89999999997</v>
      </c>
      <c r="AJ148" s="30">
        <v>50402.509999999987</v>
      </c>
    </row>
    <row r="149" spans="1:36" ht="207" customHeight="1" x14ac:dyDescent="0.25">
      <c r="A149" s="6">
        <v>146</v>
      </c>
      <c r="B149" s="31">
        <v>126485</v>
      </c>
      <c r="C149" s="11">
        <v>546</v>
      </c>
      <c r="D149" s="9" t="s">
        <v>1638</v>
      </c>
      <c r="E149" s="24" t="s">
        <v>899</v>
      </c>
      <c r="F149" s="11" t="s">
        <v>2135</v>
      </c>
      <c r="G149" s="11" t="s">
        <v>947</v>
      </c>
      <c r="H149" s="8" t="s">
        <v>151</v>
      </c>
      <c r="I149" s="12" t="s">
        <v>2674</v>
      </c>
      <c r="J149" s="25">
        <v>43455</v>
      </c>
      <c r="K149" s="25">
        <v>44398</v>
      </c>
      <c r="L149" s="26">
        <f t="shared" si="69"/>
        <v>85</v>
      </c>
      <c r="M149" s="11">
        <v>6</v>
      </c>
      <c r="N149" s="11" t="s">
        <v>182</v>
      </c>
      <c r="O149" s="11" t="s">
        <v>183</v>
      </c>
      <c r="P149" s="27" t="s">
        <v>174</v>
      </c>
      <c r="Q149" s="11" t="s">
        <v>34</v>
      </c>
      <c r="R149" s="1">
        <f t="shared" si="70"/>
        <v>3257796.87</v>
      </c>
      <c r="S149" s="2">
        <v>3257796.87</v>
      </c>
      <c r="T149" s="2">
        <v>0</v>
      </c>
      <c r="U149" s="1">
        <f t="shared" si="71"/>
        <v>498251.29</v>
      </c>
      <c r="V149" s="28">
        <v>498251.29</v>
      </c>
      <c r="W149" s="28">
        <v>0</v>
      </c>
      <c r="X149" s="1">
        <f t="shared" si="72"/>
        <v>76654.039999999994</v>
      </c>
      <c r="Y149" s="2">
        <v>76654.039999999994</v>
      </c>
      <c r="Z149" s="2">
        <v>0</v>
      </c>
      <c r="AA149" s="2">
        <f t="shared" si="73"/>
        <v>0</v>
      </c>
      <c r="AB149" s="2">
        <v>0</v>
      </c>
      <c r="AC149" s="2">
        <v>0</v>
      </c>
      <c r="AD149" s="16">
        <f t="shared" si="64"/>
        <v>3832702.2</v>
      </c>
      <c r="AE149" s="2"/>
      <c r="AF149" s="2">
        <f t="shared" si="74"/>
        <v>3832702.2</v>
      </c>
      <c r="AG149" s="38" t="s">
        <v>857</v>
      </c>
      <c r="AH149" s="29" t="s">
        <v>1754</v>
      </c>
      <c r="AI149" s="30">
        <f>526834.95+248284.81+380000+318918.04+380000-24455.26+1290656.83</f>
        <v>3120239.37</v>
      </c>
      <c r="AJ149" s="30">
        <f>80574.74+37972.97+106893.35+24455.26+227316.75</f>
        <v>477213.07</v>
      </c>
    </row>
    <row r="150" spans="1:36" ht="240.75" customHeight="1" x14ac:dyDescent="0.25">
      <c r="A150" s="6">
        <v>147</v>
      </c>
      <c r="B150" s="31">
        <v>126214</v>
      </c>
      <c r="C150" s="11">
        <v>527</v>
      </c>
      <c r="D150" s="9" t="s">
        <v>1638</v>
      </c>
      <c r="E150" s="24" t="s">
        <v>899</v>
      </c>
      <c r="F150" s="11" t="s">
        <v>975</v>
      </c>
      <c r="G150" s="11" t="s">
        <v>1652</v>
      </c>
      <c r="H150" s="8" t="s">
        <v>151</v>
      </c>
      <c r="I150" s="12" t="s">
        <v>976</v>
      </c>
      <c r="J150" s="25">
        <v>43507</v>
      </c>
      <c r="K150" s="25">
        <v>45057</v>
      </c>
      <c r="L150" s="26">
        <f t="shared" si="69"/>
        <v>85.000000000000014</v>
      </c>
      <c r="M150" s="11">
        <v>6</v>
      </c>
      <c r="N150" s="11" t="s">
        <v>182</v>
      </c>
      <c r="O150" s="11" t="s">
        <v>394</v>
      </c>
      <c r="P150" s="27" t="s">
        <v>174</v>
      </c>
      <c r="Q150" s="11" t="s">
        <v>34</v>
      </c>
      <c r="R150" s="1">
        <f t="shared" si="70"/>
        <v>3316506.2</v>
      </c>
      <c r="S150" s="2">
        <v>3316506.2</v>
      </c>
      <c r="T150" s="2">
        <v>0</v>
      </c>
      <c r="U150" s="1">
        <f t="shared" si="71"/>
        <v>507230.36</v>
      </c>
      <c r="V150" s="28">
        <v>507230.36</v>
      </c>
      <c r="W150" s="28">
        <v>0</v>
      </c>
      <c r="X150" s="1">
        <f t="shared" si="72"/>
        <v>78035.44</v>
      </c>
      <c r="Y150" s="2">
        <v>78035.44</v>
      </c>
      <c r="Z150" s="2">
        <v>0</v>
      </c>
      <c r="AA150" s="2">
        <f t="shared" si="73"/>
        <v>0</v>
      </c>
      <c r="AB150" s="2">
        <v>0</v>
      </c>
      <c r="AC150" s="2">
        <v>0</v>
      </c>
      <c r="AD150" s="16">
        <f t="shared" si="64"/>
        <v>3901772</v>
      </c>
      <c r="AE150" s="2">
        <v>0</v>
      </c>
      <c r="AF150" s="2">
        <f t="shared" si="74"/>
        <v>3901772</v>
      </c>
      <c r="AG150" s="38" t="s">
        <v>486</v>
      </c>
      <c r="AH150" s="29" t="s">
        <v>3112</v>
      </c>
      <c r="AI150" s="30">
        <f>369954.38+411573.28+44291.56+44291.56+44291.56+503619.78</f>
        <v>1418022.12</v>
      </c>
      <c r="AJ150" s="30">
        <f>56581.26+62946.51+6774.01+6774.01+6774.01+77024.2</f>
        <v>216874</v>
      </c>
    </row>
    <row r="151" spans="1:36" ht="240.75" customHeight="1" x14ac:dyDescent="0.25">
      <c r="A151" s="6">
        <v>148</v>
      </c>
      <c r="B151" s="11">
        <v>128473</v>
      </c>
      <c r="C151" s="11">
        <v>629</v>
      </c>
      <c r="D151" s="9" t="s">
        <v>1638</v>
      </c>
      <c r="E151" s="24" t="s">
        <v>1071</v>
      </c>
      <c r="F151" s="11" t="s">
        <v>1123</v>
      </c>
      <c r="G151" s="11" t="s">
        <v>1651</v>
      </c>
      <c r="H151" s="8" t="s">
        <v>151</v>
      </c>
      <c r="I151" s="12" t="s">
        <v>2675</v>
      </c>
      <c r="J151" s="25">
        <v>43640</v>
      </c>
      <c r="K151" s="25">
        <v>45009</v>
      </c>
      <c r="L151" s="26">
        <f t="shared" si="69"/>
        <v>85</v>
      </c>
      <c r="M151" s="11">
        <v>6</v>
      </c>
      <c r="N151" s="11" t="s">
        <v>182</v>
      </c>
      <c r="O151" s="11" t="s">
        <v>394</v>
      </c>
      <c r="P151" s="27" t="s">
        <v>174</v>
      </c>
      <c r="Q151" s="11" t="s">
        <v>34</v>
      </c>
      <c r="R151" s="1">
        <f t="shared" si="70"/>
        <v>2773068.05</v>
      </c>
      <c r="S151" s="2">
        <v>2773068.05</v>
      </c>
      <c r="T151" s="2">
        <v>0</v>
      </c>
      <c r="U151" s="1">
        <f t="shared" si="71"/>
        <v>424116.29</v>
      </c>
      <c r="V151" s="28">
        <v>424116.29</v>
      </c>
      <c r="W151" s="28">
        <v>0</v>
      </c>
      <c r="X151" s="1">
        <f t="shared" si="72"/>
        <v>65248.66</v>
      </c>
      <c r="Y151" s="2">
        <v>65248.66</v>
      </c>
      <c r="Z151" s="2">
        <v>0</v>
      </c>
      <c r="AA151" s="2">
        <f t="shared" si="73"/>
        <v>0</v>
      </c>
      <c r="AB151" s="2">
        <v>0</v>
      </c>
      <c r="AC151" s="2">
        <v>0</v>
      </c>
      <c r="AD151" s="16">
        <f t="shared" si="64"/>
        <v>3262433</v>
      </c>
      <c r="AE151" s="2">
        <v>102340</v>
      </c>
      <c r="AF151" s="2">
        <f t="shared" si="74"/>
        <v>3364773</v>
      </c>
      <c r="AG151" s="38" t="s">
        <v>486</v>
      </c>
      <c r="AH151" s="29" t="s">
        <v>1951</v>
      </c>
      <c r="AI151" s="30">
        <f>219757.88+193444.4+564412.61</f>
        <v>977614.89</v>
      </c>
      <c r="AJ151" s="30">
        <f>33610.02+29585.59+86321.93</f>
        <v>149517.53999999998</v>
      </c>
    </row>
    <row r="152" spans="1:36" ht="409.6" customHeight="1" x14ac:dyDescent="0.25">
      <c r="A152" s="6">
        <v>149</v>
      </c>
      <c r="B152" s="11">
        <v>129268</v>
      </c>
      <c r="C152" s="86">
        <v>655</v>
      </c>
      <c r="D152" s="9" t="s">
        <v>1638</v>
      </c>
      <c r="E152" s="24" t="s">
        <v>1071</v>
      </c>
      <c r="F152" s="11" t="s">
        <v>1114</v>
      </c>
      <c r="G152" s="11" t="s">
        <v>1150</v>
      </c>
      <c r="H152" s="8" t="s">
        <v>151</v>
      </c>
      <c r="I152" s="12" t="s">
        <v>2676</v>
      </c>
      <c r="J152" s="25">
        <v>43634</v>
      </c>
      <c r="K152" s="25">
        <v>44214</v>
      </c>
      <c r="L152" s="26">
        <f t="shared" si="69"/>
        <v>84.999999999999986</v>
      </c>
      <c r="M152" s="11">
        <v>5</v>
      </c>
      <c r="N152" s="11" t="s">
        <v>182</v>
      </c>
      <c r="O152" s="11" t="s">
        <v>1115</v>
      </c>
      <c r="P152" s="27" t="str">
        <f>P150</f>
        <v>APL</v>
      </c>
      <c r="Q152" s="11" t="str">
        <f>Q150</f>
        <v>119 - Investiții în capacitatea instituțională și în eficiența administrațiilor și a serviciilor publice la nivel național, regional și local, în perspectiva realizării de reforme, a unei mai bune legiferări și a bunei guvernanțe</v>
      </c>
      <c r="R152" s="1">
        <f t="shared" si="70"/>
        <v>1962765.6</v>
      </c>
      <c r="S152" s="2">
        <v>1962765.6</v>
      </c>
      <c r="T152" s="2">
        <v>0</v>
      </c>
      <c r="U152" s="1">
        <f t="shared" si="71"/>
        <v>300187.68</v>
      </c>
      <c r="V152" s="28">
        <v>300187.68</v>
      </c>
      <c r="W152" s="28">
        <v>0</v>
      </c>
      <c r="X152" s="1">
        <f t="shared" si="72"/>
        <v>46182.720000000001</v>
      </c>
      <c r="Y152" s="2">
        <v>46182.720000000001</v>
      </c>
      <c r="Z152" s="2">
        <v>0</v>
      </c>
      <c r="AA152" s="2">
        <f t="shared" si="73"/>
        <v>0</v>
      </c>
      <c r="AB152" s="2">
        <v>0</v>
      </c>
      <c r="AC152" s="2">
        <v>0</v>
      </c>
      <c r="AD152" s="16">
        <f t="shared" si="64"/>
        <v>2309136.0000000005</v>
      </c>
      <c r="AE152" s="2">
        <v>0</v>
      </c>
      <c r="AF152" s="2">
        <f t="shared" si="74"/>
        <v>2309136.0000000005</v>
      </c>
      <c r="AG152" s="38" t="s">
        <v>857</v>
      </c>
      <c r="AH152" s="29" t="s">
        <v>151</v>
      </c>
      <c r="AI152" s="30">
        <f>72304.61+19204.05+710933.79+92672.62+673975.2+37295.79+12775.25</f>
        <v>1619161.31</v>
      </c>
      <c r="AJ152" s="30">
        <f>3424.24+3817.06+3817.06+2937.09+108731.04+14173.46+103078.56+5704.06+1953.86</f>
        <v>247636.42999999996</v>
      </c>
    </row>
    <row r="153" spans="1:36" ht="220.5" x14ac:dyDescent="0.25">
      <c r="A153" s="6">
        <v>150</v>
      </c>
      <c r="B153" s="11">
        <v>135879</v>
      </c>
      <c r="C153" s="86">
        <v>774</v>
      </c>
      <c r="D153" s="9" t="s">
        <v>1638</v>
      </c>
      <c r="E153" s="24" t="s">
        <v>1441</v>
      </c>
      <c r="F153" s="11" t="s">
        <v>1495</v>
      </c>
      <c r="G153" s="31" t="s">
        <v>1150</v>
      </c>
      <c r="H153" s="8" t="s">
        <v>151</v>
      </c>
      <c r="I153" s="12" t="s">
        <v>2677</v>
      </c>
      <c r="J153" s="25">
        <v>43969</v>
      </c>
      <c r="K153" s="25">
        <v>44822</v>
      </c>
      <c r="L153" s="26">
        <f t="shared" si="69"/>
        <v>85.000000000000014</v>
      </c>
      <c r="M153" s="11">
        <v>5</v>
      </c>
      <c r="N153" s="11" t="s">
        <v>182</v>
      </c>
      <c r="O153" s="11" t="s">
        <v>1115</v>
      </c>
      <c r="P153" s="27" t="s">
        <v>174</v>
      </c>
      <c r="Q153" s="11" t="s">
        <v>34</v>
      </c>
      <c r="R153" s="1">
        <f t="shared" si="70"/>
        <v>528564.85</v>
      </c>
      <c r="S153" s="2">
        <v>528564.85</v>
      </c>
      <c r="T153" s="2">
        <v>0</v>
      </c>
      <c r="U153" s="1">
        <f t="shared" si="71"/>
        <v>80839.33</v>
      </c>
      <c r="V153" s="28">
        <v>80839.33</v>
      </c>
      <c r="W153" s="28">
        <v>0</v>
      </c>
      <c r="X153" s="1">
        <f t="shared" si="72"/>
        <v>12436.82</v>
      </c>
      <c r="Y153" s="2">
        <v>12436.82</v>
      </c>
      <c r="Z153" s="2">
        <v>0</v>
      </c>
      <c r="AA153" s="2">
        <f t="shared" si="73"/>
        <v>0</v>
      </c>
      <c r="AB153" s="2">
        <v>0</v>
      </c>
      <c r="AC153" s="2">
        <v>0</v>
      </c>
      <c r="AD153" s="16">
        <f t="shared" si="64"/>
        <v>621840.99999999988</v>
      </c>
      <c r="AE153" s="2">
        <v>75327</v>
      </c>
      <c r="AF153" s="2">
        <f t="shared" si="74"/>
        <v>697167.99999999988</v>
      </c>
      <c r="AG153" s="38" t="s">
        <v>857</v>
      </c>
      <c r="AH153" s="29" t="s">
        <v>2043</v>
      </c>
      <c r="AI153" s="30">
        <f>12254.02+11395.1+30554.27+10719.35+8992.15+16116.85+53558.14+9529.83+99127</f>
        <v>252246.71</v>
      </c>
      <c r="AJ153" s="30">
        <f>1874.15+1742.78+4673.01+1639.43+1375.27+2464.93+8191.25+1457.5+15160.6</f>
        <v>38578.92</v>
      </c>
    </row>
    <row r="154" spans="1:36" ht="204.75" x14ac:dyDescent="0.25">
      <c r="A154" s="6">
        <v>151</v>
      </c>
      <c r="B154" s="11">
        <v>136177</v>
      </c>
      <c r="C154" s="86">
        <v>819</v>
      </c>
      <c r="D154" s="9" t="s">
        <v>1638</v>
      </c>
      <c r="E154" s="24" t="s">
        <v>1441</v>
      </c>
      <c r="F154" s="11" t="s">
        <v>1532</v>
      </c>
      <c r="G154" s="31" t="s">
        <v>1533</v>
      </c>
      <c r="H154" s="8" t="s">
        <v>151</v>
      </c>
      <c r="I154" s="12" t="s">
        <v>2678</v>
      </c>
      <c r="J154" s="25">
        <v>43998</v>
      </c>
      <c r="K154" s="25">
        <v>44850</v>
      </c>
      <c r="L154" s="26">
        <f t="shared" si="69"/>
        <v>85</v>
      </c>
      <c r="M154" s="11">
        <v>5</v>
      </c>
      <c r="N154" s="11" t="s">
        <v>182</v>
      </c>
      <c r="O154" s="11" t="s">
        <v>1534</v>
      </c>
      <c r="P154" s="27" t="s">
        <v>174</v>
      </c>
      <c r="Q154" s="11" t="s">
        <v>34</v>
      </c>
      <c r="R154" s="1">
        <f t="shared" si="70"/>
        <v>2537310.1800000002</v>
      </c>
      <c r="S154" s="2">
        <v>2537310.1800000002</v>
      </c>
      <c r="T154" s="2">
        <v>0</v>
      </c>
      <c r="U154" s="1">
        <f t="shared" si="71"/>
        <v>388059.2</v>
      </c>
      <c r="V154" s="28">
        <v>388059.2</v>
      </c>
      <c r="W154" s="28">
        <v>0</v>
      </c>
      <c r="X154" s="1">
        <f t="shared" si="72"/>
        <v>59701.42</v>
      </c>
      <c r="Y154" s="2">
        <v>59701.42</v>
      </c>
      <c r="Z154" s="2">
        <v>0</v>
      </c>
      <c r="AA154" s="2">
        <f t="shared" si="73"/>
        <v>0</v>
      </c>
      <c r="AB154" s="2">
        <v>0</v>
      </c>
      <c r="AC154" s="2">
        <v>0</v>
      </c>
      <c r="AD154" s="16">
        <f t="shared" si="64"/>
        <v>2985070.8000000003</v>
      </c>
      <c r="AE154" s="2">
        <v>0</v>
      </c>
      <c r="AF154" s="2">
        <f t="shared" si="74"/>
        <v>2985070.8000000003</v>
      </c>
      <c r="AG154" s="38" t="s">
        <v>857</v>
      </c>
      <c r="AH154" s="29" t="s">
        <v>1939</v>
      </c>
      <c r="AI154" s="30">
        <f>33929.88+132830.35+55079.15+30068.75+39902.4+31300.4+353070.46</f>
        <v>676181.39000000013</v>
      </c>
      <c r="AJ154" s="30">
        <f>5189.27+20315.23+8423.87+4598.75+6102.72+4787.12+53999.01</f>
        <v>103415.97</v>
      </c>
    </row>
    <row r="155" spans="1:36" ht="267.75" x14ac:dyDescent="0.25">
      <c r="A155" s="6">
        <v>152</v>
      </c>
      <c r="B155" s="11">
        <v>135941</v>
      </c>
      <c r="C155" s="86">
        <v>775</v>
      </c>
      <c r="D155" s="9" t="s">
        <v>1638</v>
      </c>
      <c r="E155" s="24" t="s">
        <v>1441</v>
      </c>
      <c r="F155" s="11" t="s">
        <v>1557</v>
      </c>
      <c r="G155" s="31" t="s">
        <v>1558</v>
      </c>
      <c r="H155" s="8" t="s">
        <v>151</v>
      </c>
      <c r="I155" s="12" t="s">
        <v>2679</v>
      </c>
      <c r="J155" s="25">
        <v>44014</v>
      </c>
      <c r="K155" s="25">
        <v>44653</v>
      </c>
      <c r="L155" s="26">
        <f t="shared" si="69"/>
        <v>85.000000048627584</v>
      </c>
      <c r="M155" s="11">
        <v>5</v>
      </c>
      <c r="N155" s="11" t="s">
        <v>182</v>
      </c>
      <c r="O155" s="11" t="s">
        <v>1559</v>
      </c>
      <c r="P155" s="27" t="s">
        <v>174</v>
      </c>
      <c r="Q155" s="11" t="s">
        <v>34</v>
      </c>
      <c r="R155" s="1">
        <f t="shared" si="70"/>
        <v>2621969</v>
      </c>
      <c r="S155" s="2">
        <v>2621969</v>
      </c>
      <c r="T155" s="2">
        <v>0</v>
      </c>
      <c r="U155" s="1">
        <f t="shared" si="71"/>
        <v>401007.02</v>
      </c>
      <c r="V155" s="28">
        <v>401007.02</v>
      </c>
      <c r="W155" s="28">
        <v>0</v>
      </c>
      <c r="X155" s="1">
        <f t="shared" si="72"/>
        <v>61693.39</v>
      </c>
      <c r="Y155" s="2">
        <v>61693.39</v>
      </c>
      <c r="Z155" s="2">
        <v>0</v>
      </c>
      <c r="AA155" s="2">
        <f t="shared" si="73"/>
        <v>0</v>
      </c>
      <c r="AB155" s="2">
        <v>0</v>
      </c>
      <c r="AC155" s="2">
        <v>0</v>
      </c>
      <c r="AD155" s="16">
        <f t="shared" si="64"/>
        <v>3084669.41</v>
      </c>
      <c r="AE155" s="2">
        <v>0</v>
      </c>
      <c r="AF155" s="2">
        <f t="shared" si="74"/>
        <v>3084669.41</v>
      </c>
      <c r="AG155" s="38" t="s">
        <v>857</v>
      </c>
      <c r="AH155" s="29" t="s">
        <v>1834</v>
      </c>
      <c r="AI155" s="30">
        <f>180987.13-16741.02+34854.48+1698328.73-7065.69+18264.47+298392.5+73210.4+299097.91+1255.3</f>
        <v>2580584.21</v>
      </c>
      <c r="AJ155" s="30">
        <f>16741.02+3003.78+259744.4+7065.69+45636.5+3305.12+56593.09+2587.99</f>
        <v>394677.58999999997</v>
      </c>
    </row>
    <row r="156" spans="1:36" ht="204.75" x14ac:dyDescent="0.25">
      <c r="A156" s="6">
        <v>153</v>
      </c>
      <c r="B156" s="11">
        <v>135985</v>
      </c>
      <c r="C156" s="86">
        <v>776</v>
      </c>
      <c r="D156" s="9" t="s">
        <v>1638</v>
      </c>
      <c r="E156" s="24" t="s">
        <v>1441</v>
      </c>
      <c r="F156" s="11" t="s">
        <v>1560</v>
      </c>
      <c r="G156" s="31" t="s">
        <v>947</v>
      </c>
      <c r="H156" s="8" t="s">
        <v>151</v>
      </c>
      <c r="I156" s="12" t="s">
        <v>2680</v>
      </c>
      <c r="J156" s="25">
        <v>44014</v>
      </c>
      <c r="K156" s="25">
        <v>44744</v>
      </c>
      <c r="L156" s="26">
        <f t="shared" si="69"/>
        <v>85.000000029098828</v>
      </c>
      <c r="M156" s="11">
        <v>5</v>
      </c>
      <c r="N156" s="11" t="s">
        <v>182</v>
      </c>
      <c r="O156" s="11" t="s">
        <v>183</v>
      </c>
      <c r="P156" s="27" t="s">
        <v>174</v>
      </c>
      <c r="Q156" s="11" t="s">
        <v>34</v>
      </c>
      <c r="R156" s="1">
        <f t="shared" si="70"/>
        <v>1460540.61</v>
      </c>
      <c r="S156" s="2">
        <v>1460540.61</v>
      </c>
      <c r="T156" s="2">
        <v>0</v>
      </c>
      <c r="U156" s="1">
        <f t="shared" si="71"/>
        <v>223376.8</v>
      </c>
      <c r="V156" s="28">
        <v>223376.8</v>
      </c>
      <c r="W156" s="28">
        <v>0</v>
      </c>
      <c r="X156" s="1">
        <f t="shared" si="72"/>
        <v>34365.660000000003</v>
      </c>
      <c r="Y156" s="2">
        <v>34365.660000000003</v>
      </c>
      <c r="Z156" s="2">
        <v>0</v>
      </c>
      <c r="AA156" s="2">
        <f t="shared" si="73"/>
        <v>0</v>
      </c>
      <c r="AB156" s="2">
        <v>0</v>
      </c>
      <c r="AC156" s="2">
        <v>0</v>
      </c>
      <c r="AD156" s="16">
        <f t="shared" si="64"/>
        <v>1718283.07</v>
      </c>
      <c r="AE156" s="2">
        <v>0</v>
      </c>
      <c r="AF156" s="2">
        <f t="shared" si="74"/>
        <v>1718283.07</v>
      </c>
      <c r="AG156" s="38" t="s">
        <v>857</v>
      </c>
      <c r="AH156" s="29" t="s">
        <v>1943</v>
      </c>
      <c r="AI156" s="30">
        <f>47797.2+219320.51+594785.37+201288.5+289440.07+56537.75</f>
        <v>1409169.4000000001</v>
      </c>
      <c r="AJ156" s="30">
        <f>7310.16+33543.14+90967.18+30785.3+44267.31+8646.95</f>
        <v>215520.03999999998</v>
      </c>
    </row>
    <row r="157" spans="1:36" ht="141.75" x14ac:dyDescent="0.25">
      <c r="A157" s="6">
        <v>154</v>
      </c>
      <c r="B157" s="11">
        <v>135341</v>
      </c>
      <c r="C157" s="11">
        <v>835</v>
      </c>
      <c r="D157" s="9" t="s">
        <v>1638</v>
      </c>
      <c r="E157" s="24" t="s">
        <v>1441</v>
      </c>
      <c r="F157" s="11" t="s">
        <v>1599</v>
      </c>
      <c r="G157" s="11" t="s">
        <v>1651</v>
      </c>
      <c r="H157" s="8" t="s">
        <v>151</v>
      </c>
      <c r="I157" s="12" t="s">
        <v>2681</v>
      </c>
      <c r="J157" s="25">
        <v>44048</v>
      </c>
      <c r="K157" s="25">
        <v>45051</v>
      </c>
      <c r="L157" s="26">
        <f t="shared" si="69"/>
        <v>85</v>
      </c>
      <c r="M157" s="11">
        <v>5</v>
      </c>
      <c r="N157" s="11" t="s">
        <v>182</v>
      </c>
      <c r="O157" s="11" t="s">
        <v>394</v>
      </c>
      <c r="P157" s="27" t="s">
        <v>174</v>
      </c>
      <c r="Q157" s="11" t="s">
        <v>34</v>
      </c>
      <c r="R157" s="1">
        <f t="shared" si="70"/>
        <v>3399981.3</v>
      </c>
      <c r="S157" s="2">
        <v>3399981.3</v>
      </c>
      <c r="T157" s="2">
        <v>0</v>
      </c>
      <c r="U157" s="1">
        <f t="shared" si="71"/>
        <v>519997.14</v>
      </c>
      <c r="V157" s="28">
        <v>519997.14</v>
      </c>
      <c r="W157" s="28">
        <v>0</v>
      </c>
      <c r="X157" s="1">
        <f t="shared" si="72"/>
        <v>79999.56</v>
      </c>
      <c r="Y157" s="2">
        <v>79999.56</v>
      </c>
      <c r="Z157" s="2">
        <v>0</v>
      </c>
      <c r="AA157" s="2">
        <f t="shared" si="73"/>
        <v>0</v>
      </c>
      <c r="AB157" s="2">
        <v>0</v>
      </c>
      <c r="AC157" s="2">
        <v>0</v>
      </c>
      <c r="AD157" s="16">
        <f t="shared" si="64"/>
        <v>3999978</v>
      </c>
      <c r="AE157" s="2">
        <v>298239</v>
      </c>
      <c r="AF157" s="2">
        <f t="shared" si="74"/>
        <v>4298217</v>
      </c>
      <c r="AG157" s="38" t="s">
        <v>486</v>
      </c>
      <c r="AH157" s="29" t="s">
        <v>3315</v>
      </c>
      <c r="AI157" s="30">
        <f>859.78+2743800</f>
        <v>2744659.78</v>
      </c>
      <c r="AJ157" s="30">
        <f>131.5+419640</f>
        <v>419771.5</v>
      </c>
    </row>
    <row r="158" spans="1:36" ht="141.75" x14ac:dyDescent="0.25">
      <c r="A158" s="6">
        <v>155</v>
      </c>
      <c r="B158" s="11">
        <v>152139</v>
      </c>
      <c r="C158" s="86">
        <v>1137</v>
      </c>
      <c r="D158" s="9" t="s">
        <v>1639</v>
      </c>
      <c r="E158" s="24" t="s">
        <v>1801</v>
      </c>
      <c r="F158" s="11" t="s">
        <v>1836</v>
      </c>
      <c r="G158" s="11" t="s">
        <v>1651</v>
      </c>
      <c r="H158" s="8" t="s">
        <v>151</v>
      </c>
      <c r="I158" s="12" t="s">
        <v>1837</v>
      </c>
      <c r="J158" s="25">
        <v>44496</v>
      </c>
      <c r="K158" s="25">
        <v>44861</v>
      </c>
      <c r="L158" s="26">
        <f t="shared" si="69"/>
        <v>85.000000000000014</v>
      </c>
      <c r="M158" s="11">
        <v>5</v>
      </c>
      <c r="N158" s="11" t="s">
        <v>182</v>
      </c>
      <c r="O158" s="11" t="s">
        <v>394</v>
      </c>
      <c r="P158" s="27" t="s">
        <v>174</v>
      </c>
      <c r="Q158" s="11" t="s">
        <v>34</v>
      </c>
      <c r="R158" s="1">
        <f t="shared" si="70"/>
        <v>352608.9</v>
      </c>
      <c r="S158" s="2">
        <v>352608.9</v>
      </c>
      <c r="T158" s="2">
        <v>0</v>
      </c>
      <c r="U158" s="1">
        <f t="shared" si="71"/>
        <v>53928.42</v>
      </c>
      <c r="V158" s="28">
        <v>53928.42</v>
      </c>
      <c r="W158" s="28">
        <v>0</v>
      </c>
      <c r="X158" s="1">
        <f t="shared" si="72"/>
        <v>8296.68</v>
      </c>
      <c r="Y158" s="2">
        <v>8296.68</v>
      </c>
      <c r="Z158" s="2">
        <v>0</v>
      </c>
      <c r="AA158" s="2">
        <f t="shared" si="73"/>
        <v>0</v>
      </c>
      <c r="AB158" s="2">
        <v>0</v>
      </c>
      <c r="AC158" s="2">
        <v>0</v>
      </c>
      <c r="AD158" s="16">
        <f t="shared" si="64"/>
        <v>414834</v>
      </c>
      <c r="AE158" s="2">
        <v>0</v>
      </c>
      <c r="AF158" s="2">
        <f t="shared" si="74"/>
        <v>414834</v>
      </c>
      <c r="AG158" s="38" t="s">
        <v>857</v>
      </c>
      <c r="AH158" s="29" t="s">
        <v>151</v>
      </c>
      <c r="AI158" s="30">
        <v>631.91</v>
      </c>
      <c r="AJ158" s="30">
        <v>96.64</v>
      </c>
    </row>
    <row r="159" spans="1:36" ht="393.75" x14ac:dyDescent="0.25">
      <c r="A159" s="6">
        <v>156</v>
      </c>
      <c r="B159" s="11">
        <v>155153</v>
      </c>
      <c r="C159" s="86">
        <v>1235</v>
      </c>
      <c r="D159" s="9" t="s">
        <v>1638</v>
      </c>
      <c r="E159" s="24" t="s">
        <v>2012</v>
      </c>
      <c r="F159" s="11" t="s">
        <v>2080</v>
      </c>
      <c r="G159" s="31" t="s">
        <v>1150</v>
      </c>
      <c r="H159" s="8" t="s">
        <v>151</v>
      </c>
      <c r="I159" s="12" t="s">
        <v>2081</v>
      </c>
      <c r="J159" s="25">
        <v>44655</v>
      </c>
      <c r="K159" s="25">
        <v>45264</v>
      </c>
      <c r="L159" s="26">
        <f t="shared" si="69"/>
        <v>85</v>
      </c>
      <c r="M159" s="11">
        <v>5</v>
      </c>
      <c r="N159" s="11" t="s">
        <v>182</v>
      </c>
      <c r="O159" s="11" t="s">
        <v>1115</v>
      </c>
      <c r="P159" s="27" t="str">
        <f>P157</f>
        <v>APL</v>
      </c>
      <c r="Q159" s="11" t="str">
        <f>Q157</f>
        <v>119 - Investiții în capacitatea instituțională și în eficiența administrațiilor și a serviciilor publice la nivel național, regional și local, în perspectiva realizării de reforme, a unei mai bune legiferări și a bunei guvernanțe</v>
      </c>
      <c r="R159" s="1">
        <f t="shared" si="70"/>
        <v>2876408.5</v>
      </c>
      <c r="S159" s="2">
        <v>2876408.5</v>
      </c>
      <c r="T159" s="2">
        <v>0</v>
      </c>
      <c r="U159" s="1">
        <f t="shared" si="71"/>
        <v>439921.3</v>
      </c>
      <c r="V159" s="28">
        <v>439921.3</v>
      </c>
      <c r="W159" s="28">
        <v>0</v>
      </c>
      <c r="X159" s="1">
        <f t="shared" si="72"/>
        <v>67680.2</v>
      </c>
      <c r="Y159" s="2">
        <v>67680.2</v>
      </c>
      <c r="Z159" s="2">
        <v>0</v>
      </c>
      <c r="AA159" s="2">
        <f t="shared" si="73"/>
        <v>0</v>
      </c>
      <c r="AB159" s="2">
        <v>0</v>
      </c>
      <c r="AC159" s="2">
        <v>0</v>
      </c>
      <c r="AD159" s="16">
        <f t="shared" si="64"/>
        <v>3384010</v>
      </c>
      <c r="AE159" s="2">
        <v>0</v>
      </c>
      <c r="AF159" s="2">
        <f t="shared" si="74"/>
        <v>3384010</v>
      </c>
      <c r="AG159" s="38" t="s">
        <v>486</v>
      </c>
      <c r="AH159" s="29" t="s">
        <v>3312</v>
      </c>
      <c r="AI159" s="30">
        <v>18153.53</v>
      </c>
      <c r="AJ159" s="30">
        <v>2776.42</v>
      </c>
    </row>
    <row r="160" spans="1:36" ht="283.5" x14ac:dyDescent="0.25">
      <c r="A160" s="6">
        <v>157</v>
      </c>
      <c r="B160" s="11">
        <v>155157</v>
      </c>
      <c r="C160" s="86">
        <v>1240</v>
      </c>
      <c r="D160" s="9" t="s">
        <v>1638</v>
      </c>
      <c r="E160" s="24" t="s">
        <v>2012</v>
      </c>
      <c r="F160" s="11" t="s">
        <v>2124</v>
      </c>
      <c r="G160" s="31" t="s">
        <v>1533</v>
      </c>
      <c r="H160" s="8" t="s">
        <v>151</v>
      </c>
      <c r="I160" s="12" t="s">
        <v>2125</v>
      </c>
      <c r="J160" s="25">
        <v>44664</v>
      </c>
      <c r="K160" s="25">
        <v>45151</v>
      </c>
      <c r="L160" s="26">
        <f t="shared" si="69"/>
        <v>85</v>
      </c>
      <c r="M160" s="11">
        <v>5</v>
      </c>
      <c r="N160" s="11" t="s">
        <v>182</v>
      </c>
      <c r="O160" s="11" t="s">
        <v>1534</v>
      </c>
      <c r="P160" s="27" t="s">
        <v>174</v>
      </c>
      <c r="Q160" s="11" t="s">
        <v>34</v>
      </c>
      <c r="R160" s="1">
        <f t="shared" si="70"/>
        <v>2839590.75</v>
      </c>
      <c r="S160" s="2">
        <v>2839590.75</v>
      </c>
      <c r="T160" s="2">
        <v>0</v>
      </c>
      <c r="U160" s="1">
        <f t="shared" si="71"/>
        <v>434290.35</v>
      </c>
      <c r="V160" s="28">
        <v>434290.35</v>
      </c>
      <c r="W160" s="28">
        <v>0</v>
      </c>
      <c r="X160" s="1">
        <f t="shared" si="72"/>
        <v>66813.899999999994</v>
      </c>
      <c r="Y160" s="2">
        <v>66813.899999999994</v>
      </c>
      <c r="Z160" s="2">
        <v>0</v>
      </c>
      <c r="AA160" s="2">
        <f t="shared" si="73"/>
        <v>0</v>
      </c>
      <c r="AB160" s="2">
        <v>0</v>
      </c>
      <c r="AC160" s="2">
        <v>0</v>
      </c>
      <c r="AD160" s="16">
        <f t="shared" si="64"/>
        <v>3340695</v>
      </c>
      <c r="AE160" s="2">
        <v>0</v>
      </c>
      <c r="AF160" s="2">
        <f t="shared" si="74"/>
        <v>3340695</v>
      </c>
      <c r="AG160" s="38" t="s">
        <v>486</v>
      </c>
      <c r="AH160" s="29"/>
      <c r="AI160" s="30">
        <f>19269.5</f>
        <v>19269.5</v>
      </c>
      <c r="AJ160" s="30">
        <f>2947.1</f>
        <v>2947.1</v>
      </c>
    </row>
    <row r="161" spans="1:36" ht="236.25" x14ac:dyDescent="0.25">
      <c r="A161" s="6">
        <v>158</v>
      </c>
      <c r="B161" s="11">
        <v>154788</v>
      </c>
      <c r="C161" s="86">
        <v>1178</v>
      </c>
      <c r="D161" s="9" t="s">
        <v>1638</v>
      </c>
      <c r="E161" s="24" t="s">
        <v>2012</v>
      </c>
      <c r="F161" s="11" t="s">
        <v>2164</v>
      </c>
      <c r="G161" s="31" t="s">
        <v>1558</v>
      </c>
      <c r="H161" s="8" t="s">
        <v>151</v>
      </c>
      <c r="I161" s="12" t="s">
        <v>2682</v>
      </c>
      <c r="J161" s="25">
        <v>44672</v>
      </c>
      <c r="K161" s="25">
        <v>45159</v>
      </c>
      <c r="L161" s="26">
        <f t="shared" si="69"/>
        <v>85.000000387650871</v>
      </c>
      <c r="M161" s="11">
        <v>5</v>
      </c>
      <c r="N161" s="11" t="s">
        <v>182</v>
      </c>
      <c r="O161" s="11" t="s">
        <v>1559</v>
      </c>
      <c r="P161" s="27" t="s">
        <v>174</v>
      </c>
      <c r="Q161" s="11" t="s">
        <v>34</v>
      </c>
      <c r="R161" s="1">
        <f t="shared" si="70"/>
        <v>2740868.49</v>
      </c>
      <c r="S161" s="2">
        <v>2740868.49</v>
      </c>
      <c r="T161" s="2">
        <v>0</v>
      </c>
      <c r="U161" s="1">
        <f>V161+W161</f>
        <v>419191.63</v>
      </c>
      <c r="V161" s="28">
        <v>419191.63</v>
      </c>
      <c r="W161" s="28">
        <v>0</v>
      </c>
      <c r="X161" s="1">
        <f t="shared" si="72"/>
        <v>64491.03</v>
      </c>
      <c r="Y161" s="2">
        <v>64491.03</v>
      </c>
      <c r="Z161" s="2">
        <v>0</v>
      </c>
      <c r="AA161" s="2">
        <f t="shared" si="73"/>
        <v>0</v>
      </c>
      <c r="AB161" s="2">
        <v>0</v>
      </c>
      <c r="AC161" s="2">
        <v>0</v>
      </c>
      <c r="AD161" s="16">
        <f t="shared" si="64"/>
        <v>3224551.15</v>
      </c>
      <c r="AE161" s="2">
        <v>0</v>
      </c>
      <c r="AF161" s="2">
        <f t="shared" si="74"/>
        <v>3224551.15</v>
      </c>
      <c r="AG161" s="38" t="s">
        <v>486</v>
      </c>
      <c r="AH161" s="29"/>
      <c r="AI161" s="30">
        <v>32000</v>
      </c>
      <c r="AJ161" s="30">
        <v>0</v>
      </c>
    </row>
    <row r="162" spans="1:36" ht="157.5" x14ac:dyDescent="0.25">
      <c r="A162" s="6">
        <v>159</v>
      </c>
      <c r="B162" s="11">
        <v>155147</v>
      </c>
      <c r="C162" s="86">
        <v>1205</v>
      </c>
      <c r="D162" s="9" t="s">
        <v>1638</v>
      </c>
      <c r="E162" s="24" t="s">
        <v>2012</v>
      </c>
      <c r="F162" s="11" t="s">
        <v>2171</v>
      </c>
      <c r="G162" s="31" t="s">
        <v>947</v>
      </c>
      <c r="H162" s="8" t="s">
        <v>151</v>
      </c>
      <c r="I162" s="12" t="s">
        <v>2683</v>
      </c>
      <c r="J162" s="25">
        <v>44679</v>
      </c>
      <c r="K162" s="25">
        <v>45105</v>
      </c>
      <c r="L162" s="26">
        <f t="shared" si="69"/>
        <v>84.999999999999986</v>
      </c>
      <c r="M162" s="11">
        <v>5</v>
      </c>
      <c r="N162" s="11" t="s">
        <v>182</v>
      </c>
      <c r="O162" s="11" t="s">
        <v>183</v>
      </c>
      <c r="P162" s="27" t="s">
        <v>174</v>
      </c>
      <c r="Q162" s="11" t="s">
        <v>34</v>
      </c>
      <c r="R162" s="1">
        <f t="shared" si="70"/>
        <v>2541158.98</v>
      </c>
      <c r="S162" s="2">
        <v>2541158.98</v>
      </c>
      <c r="T162" s="2">
        <v>0</v>
      </c>
      <c r="U162" s="1">
        <f>V162+W162</f>
        <v>388647.85</v>
      </c>
      <c r="V162" s="28">
        <v>388647.85</v>
      </c>
      <c r="W162" s="28">
        <v>0</v>
      </c>
      <c r="X162" s="1">
        <f t="shared" si="72"/>
        <v>59791.97</v>
      </c>
      <c r="Y162" s="2">
        <v>59791.97</v>
      </c>
      <c r="Z162" s="2">
        <v>0</v>
      </c>
      <c r="AA162" s="2">
        <f t="shared" si="73"/>
        <v>0</v>
      </c>
      <c r="AB162" s="2">
        <v>0</v>
      </c>
      <c r="AC162" s="2">
        <v>0</v>
      </c>
      <c r="AD162" s="16">
        <f t="shared" si="64"/>
        <v>2989598.8000000003</v>
      </c>
      <c r="AE162" s="2">
        <v>0</v>
      </c>
      <c r="AF162" s="2">
        <f t="shared" si="74"/>
        <v>2989598.8000000003</v>
      </c>
      <c r="AG162" s="38" t="s">
        <v>486</v>
      </c>
      <c r="AH162" s="29"/>
      <c r="AI162" s="30">
        <v>0</v>
      </c>
      <c r="AJ162" s="30">
        <v>0</v>
      </c>
    </row>
    <row r="163" spans="1:36" ht="141.75" x14ac:dyDescent="0.25">
      <c r="A163" s="6">
        <v>160</v>
      </c>
      <c r="B163" s="11">
        <v>120642</v>
      </c>
      <c r="C163" s="11">
        <v>84</v>
      </c>
      <c r="D163" s="9" t="s">
        <v>1638</v>
      </c>
      <c r="E163" s="24" t="s">
        <v>277</v>
      </c>
      <c r="F163" s="11" t="s">
        <v>278</v>
      </c>
      <c r="G163" s="11" t="s">
        <v>279</v>
      </c>
      <c r="H163" s="8" t="s">
        <v>151</v>
      </c>
      <c r="I163" s="45" t="s">
        <v>431</v>
      </c>
      <c r="J163" s="25">
        <v>43175</v>
      </c>
      <c r="K163" s="25">
        <v>43662</v>
      </c>
      <c r="L163" s="26">
        <f t="shared" ref="L163:L177" si="75">R163/AD163*100</f>
        <v>84.999998716744599</v>
      </c>
      <c r="M163" s="11">
        <v>2</v>
      </c>
      <c r="N163" s="11" t="s">
        <v>280</v>
      </c>
      <c r="O163" s="11" t="s">
        <v>281</v>
      </c>
      <c r="P163" s="27" t="s">
        <v>174</v>
      </c>
      <c r="Q163" s="11" t="s">
        <v>34</v>
      </c>
      <c r="R163" s="1">
        <f t="shared" ref="R163:R177" si="76">S163+T163</f>
        <v>264951.15000000002</v>
      </c>
      <c r="S163" s="2">
        <v>264951.15000000002</v>
      </c>
      <c r="T163" s="2">
        <v>0</v>
      </c>
      <c r="U163" s="1">
        <f t="shared" ref="U163:U179" si="77">V163+W163</f>
        <v>40521.949999999997</v>
      </c>
      <c r="V163" s="28">
        <v>40521.949999999997</v>
      </c>
      <c r="W163" s="28">
        <v>0</v>
      </c>
      <c r="X163" s="1">
        <f t="shared" ref="X163:X179" si="78">Y163+Z163</f>
        <v>6234.14</v>
      </c>
      <c r="Y163" s="2">
        <v>6234.14</v>
      </c>
      <c r="Z163" s="2">
        <v>0</v>
      </c>
      <c r="AA163" s="2">
        <f t="shared" ref="AA163:AA177" si="79">AB163+AC163</f>
        <v>0</v>
      </c>
      <c r="AB163" s="2">
        <v>0</v>
      </c>
      <c r="AC163" s="2">
        <v>0</v>
      </c>
      <c r="AD163" s="16">
        <f t="shared" si="64"/>
        <v>311707.24000000005</v>
      </c>
      <c r="AE163" s="2">
        <v>0</v>
      </c>
      <c r="AF163" s="2">
        <f t="shared" ref="AF163:AF177" si="80">AD163+AE163</f>
        <v>311707.24000000005</v>
      </c>
      <c r="AG163" s="21" t="s">
        <v>857</v>
      </c>
      <c r="AH163" s="29" t="s">
        <v>151</v>
      </c>
      <c r="AI163" s="30">
        <v>161700.98000000001</v>
      </c>
      <c r="AJ163" s="30">
        <v>24730.730000000003</v>
      </c>
    </row>
    <row r="164" spans="1:36" ht="141.75" x14ac:dyDescent="0.25">
      <c r="A164" s="6">
        <v>161</v>
      </c>
      <c r="B164" s="31">
        <v>116521</v>
      </c>
      <c r="C164" s="11">
        <v>405</v>
      </c>
      <c r="D164" s="32" t="s">
        <v>1639</v>
      </c>
      <c r="E164" s="32" t="s">
        <v>507</v>
      </c>
      <c r="F164" s="11" t="s">
        <v>661</v>
      </c>
      <c r="G164" s="11" t="s">
        <v>1589</v>
      </c>
      <c r="H164" s="8" t="s">
        <v>151</v>
      </c>
      <c r="I164" s="32" t="s">
        <v>662</v>
      </c>
      <c r="J164" s="25">
        <v>43304</v>
      </c>
      <c r="K164" s="25">
        <v>43792</v>
      </c>
      <c r="L164" s="26">
        <f t="shared" si="75"/>
        <v>85.000001706742694</v>
      </c>
      <c r="M164" s="11">
        <v>2</v>
      </c>
      <c r="N164" s="11" t="s">
        <v>280</v>
      </c>
      <c r="O164" s="11" t="s">
        <v>280</v>
      </c>
      <c r="P164" s="11" t="s">
        <v>174</v>
      </c>
      <c r="Q164" s="11" t="s">
        <v>34</v>
      </c>
      <c r="R164" s="1">
        <f t="shared" si="76"/>
        <v>249012.35</v>
      </c>
      <c r="S164" s="30">
        <v>249012.35</v>
      </c>
      <c r="T164" s="30">
        <v>0</v>
      </c>
      <c r="U164" s="1">
        <f t="shared" si="77"/>
        <v>38084.239999999998</v>
      </c>
      <c r="V164" s="42">
        <v>38084.239999999998</v>
      </c>
      <c r="W164" s="42">
        <v>0</v>
      </c>
      <c r="X164" s="1">
        <f t="shared" si="78"/>
        <v>5859.11</v>
      </c>
      <c r="Y164" s="30">
        <v>5859.11</v>
      </c>
      <c r="Z164" s="30">
        <v>0</v>
      </c>
      <c r="AA164" s="2">
        <f t="shared" si="79"/>
        <v>0</v>
      </c>
      <c r="AB164" s="30">
        <v>0</v>
      </c>
      <c r="AC164" s="30">
        <v>0</v>
      </c>
      <c r="AD164" s="16">
        <f t="shared" si="64"/>
        <v>292955.7</v>
      </c>
      <c r="AE164" s="38">
        <v>0</v>
      </c>
      <c r="AF164" s="2">
        <f t="shared" si="80"/>
        <v>292955.7</v>
      </c>
      <c r="AG164" s="21" t="s">
        <v>857</v>
      </c>
      <c r="AH164" s="38"/>
      <c r="AI164" s="30">
        <v>201942.88</v>
      </c>
      <c r="AJ164" s="30">
        <f>9579.42+5275.29+1268.05+14762.58</f>
        <v>30885.339999999997</v>
      </c>
    </row>
    <row r="165" spans="1:36" ht="189" x14ac:dyDescent="0.25">
      <c r="A165" s="6">
        <v>162</v>
      </c>
      <c r="B165" s="31">
        <v>126409</v>
      </c>
      <c r="C165" s="11">
        <v>551</v>
      </c>
      <c r="D165" s="9" t="s">
        <v>1638</v>
      </c>
      <c r="E165" s="32" t="s">
        <v>899</v>
      </c>
      <c r="F165" s="11" t="s">
        <v>917</v>
      </c>
      <c r="G165" s="11" t="s">
        <v>1589</v>
      </c>
      <c r="H165" s="8" t="s">
        <v>151</v>
      </c>
      <c r="I165" s="32" t="s">
        <v>2684</v>
      </c>
      <c r="J165" s="25">
        <v>43439</v>
      </c>
      <c r="K165" s="25">
        <v>44931</v>
      </c>
      <c r="L165" s="26">
        <f t="shared" si="75"/>
        <v>85.000000607988994</v>
      </c>
      <c r="M165" s="11">
        <v>2</v>
      </c>
      <c r="N165" s="11" t="s">
        <v>280</v>
      </c>
      <c r="O165" s="11" t="s">
        <v>280</v>
      </c>
      <c r="P165" s="11" t="s">
        <v>174</v>
      </c>
      <c r="Q165" s="11" t="s">
        <v>34</v>
      </c>
      <c r="R165" s="1">
        <f t="shared" si="76"/>
        <v>3075713.53</v>
      </c>
      <c r="S165" s="30">
        <v>3075713.53</v>
      </c>
      <c r="T165" s="30">
        <v>0</v>
      </c>
      <c r="U165" s="1">
        <f t="shared" si="77"/>
        <v>470403.21</v>
      </c>
      <c r="V165" s="42">
        <v>470403.21</v>
      </c>
      <c r="W165" s="42">
        <v>0</v>
      </c>
      <c r="X165" s="1">
        <f t="shared" si="78"/>
        <v>72369.740000000005</v>
      </c>
      <c r="Y165" s="30">
        <v>72369.740000000005</v>
      </c>
      <c r="Z165" s="30">
        <v>0</v>
      </c>
      <c r="AA165" s="2">
        <f t="shared" si="79"/>
        <v>0</v>
      </c>
      <c r="AB165" s="30">
        <v>0</v>
      </c>
      <c r="AC165" s="30">
        <v>0</v>
      </c>
      <c r="AD165" s="16">
        <f t="shared" si="64"/>
        <v>3618486.48</v>
      </c>
      <c r="AE165" s="38">
        <v>0</v>
      </c>
      <c r="AF165" s="2">
        <f t="shared" si="80"/>
        <v>3618486.48</v>
      </c>
      <c r="AG165" s="38" t="s">
        <v>486</v>
      </c>
      <c r="AH165" s="38" t="s">
        <v>1668</v>
      </c>
      <c r="AI165" s="30">
        <f>183107.25+130271.09+133951.13+97196.32+126539.04+168904.53+126539.04+199170.93</f>
        <v>1165679.33</v>
      </c>
      <c r="AJ165" s="30">
        <f>28004.63+19923.81+20486.64+14865.32+19353.03+25832.46+19353.03+30461.42</f>
        <v>178280.33999999997</v>
      </c>
    </row>
    <row r="166" spans="1:36" ht="141.75" x14ac:dyDescent="0.25">
      <c r="A166" s="6">
        <v>163</v>
      </c>
      <c r="B166" s="31">
        <v>125745</v>
      </c>
      <c r="C166" s="11">
        <v>531</v>
      </c>
      <c r="D166" s="9" t="s">
        <v>1638</v>
      </c>
      <c r="E166" s="32" t="s">
        <v>899</v>
      </c>
      <c r="F166" s="11" t="s">
        <v>1882</v>
      </c>
      <c r="G166" s="11" t="s">
        <v>1653</v>
      </c>
      <c r="H166" s="8" t="s">
        <v>151</v>
      </c>
      <c r="I166" s="32" t="s">
        <v>2685</v>
      </c>
      <c r="J166" s="25">
        <v>43550</v>
      </c>
      <c r="K166" s="25">
        <v>45011</v>
      </c>
      <c r="L166" s="26">
        <f t="shared" si="75"/>
        <v>85</v>
      </c>
      <c r="M166" s="11">
        <v>2</v>
      </c>
      <c r="N166" s="11" t="s">
        <v>280</v>
      </c>
      <c r="O166" s="11" t="s">
        <v>280</v>
      </c>
      <c r="P166" s="11" t="s">
        <v>174</v>
      </c>
      <c r="Q166" s="11" t="s">
        <v>34</v>
      </c>
      <c r="R166" s="1">
        <f t="shared" si="76"/>
        <v>1983050</v>
      </c>
      <c r="S166" s="30">
        <v>1983050</v>
      </c>
      <c r="T166" s="30">
        <v>0</v>
      </c>
      <c r="U166" s="1">
        <f t="shared" si="77"/>
        <v>303290</v>
      </c>
      <c r="V166" s="42">
        <v>303290</v>
      </c>
      <c r="W166" s="42">
        <v>0</v>
      </c>
      <c r="X166" s="1">
        <f t="shared" si="78"/>
        <v>46660</v>
      </c>
      <c r="Y166" s="30">
        <v>46660</v>
      </c>
      <c r="Z166" s="30">
        <v>0</v>
      </c>
      <c r="AA166" s="2">
        <f t="shared" si="79"/>
        <v>0</v>
      </c>
      <c r="AB166" s="30">
        <v>0</v>
      </c>
      <c r="AC166" s="30">
        <v>0</v>
      </c>
      <c r="AD166" s="16">
        <f t="shared" si="64"/>
        <v>2333000</v>
      </c>
      <c r="AE166" s="38">
        <v>0</v>
      </c>
      <c r="AF166" s="2">
        <f t="shared" si="80"/>
        <v>2333000</v>
      </c>
      <c r="AG166" s="38" t="s">
        <v>486</v>
      </c>
      <c r="AH166" s="38" t="s">
        <v>2008</v>
      </c>
      <c r="AI166" s="30">
        <f>1517.25+775063.14+83364.29+145583.17+1001.38+72791.59</f>
        <v>1079320.82</v>
      </c>
      <c r="AJ166" s="30">
        <f>232.05+118539.09+12749.84+22265.66+153.16+11132.83</f>
        <v>165072.63</v>
      </c>
    </row>
    <row r="167" spans="1:36" ht="189" x14ac:dyDescent="0.25">
      <c r="A167" s="6">
        <v>164</v>
      </c>
      <c r="B167" s="31">
        <v>109686</v>
      </c>
      <c r="C167" s="31">
        <v>122</v>
      </c>
      <c r="D167" s="9" t="s">
        <v>1638</v>
      </c>
      <c r="E167" s="24" t="s">
        <v>277</v>
      </c>
      <c r="F167" s="11" t="s">
        <v>1175</v>
      </c>
      <c r="G167" s="11" t="s">
        <v>1589</v>
      </c>
      <c r="H167" s="8" t="s">
        <v>151</v>
      </c>
      <c r="I167" s="12" t="s">
        <v>539</v>
      </c>
      <c r="J167" s="25">
        <v>43276</v>
      </c>
      <c r="K167" s="25">
        <v>43763</v>
      </c>
      <c r="L167" s="26">
        <f t="shared" si="75"/>
        <v>85.000000118226325</v>
      </c>
      <c r="M167" s="11">
        <v>2</v>
      </c>
      <c r="N167" s="11" t="s">
        <v>280</v>
      </c>
      <c r="O167" s="11" t="s">
        <v>280</v>
      </c>
      <c r="P167" s="27" t="s">
        <v>174</v>
      </c>
      <c r="Q167" s="11" t="s">
        <v>34</v>
      </c>
      <c r="R167" s="2">
        <f t="shared" si="76"/>
        <v>359480.02</v>
      </c>
      <c r="S167" s="2">
        <v>359480.02</v>
      </c>
      <c r="T167" s="2">
        <v>0</v>
      </c>
      <c r="U167" s="1">
        <f t="shared" si="77"/>
        <v>54979.3</v>
      </c>
      <c r="V167" s="28">
        <v>54979.3</v>
      </c>
      <c r="W167" s="28">
        <v>0</v>
      </c>
      <c r="X167" s="1">
        <f t="shared" si="78"/>
        <v>8458.35</v>
      </c>
      <c r="Y167" s="2">
        <v>8458.35</v>
      </c>
      <c r="Z167" s="2">
        <v>0</v>
      </c>
      <c r="AA167" s="2">
        <f t="shared" si="79"/>
        <v>0</v>
      </c>
      <c r="AB167" s="2">
        <v>0</v>
      </c>
      <c r="AC167" s="2">
        <v>0</v>
      </c>
      <c r="AD167" s="16">
        <f t="shared" si="64"/>
        <v>422917.67</v>
      </c>
      <c r="AE167" s="2">
        <v>0</v>
      </c>
      <c r="AF167" s="2">
        <f t="shared" si="80"/>
        <v>422917.67</v>
      </c>
      <c r="AG167" s="21" t="s">
        <v>857</v>
      </c>
      <c r="AH167" s="29" t="s">
        <v>151</v>
      </c>
      <c r="AI167" s="30">
        <v>258837.34</v>
      </c>
      <c r="AJ167" s="30">
        <v>39586.89</v>
      </c>
    </row>
    <row r="168" spans="1:36" ht="267.75" x14ac:dyDescent="0.25">
      <c r="A168" s="6">
        <v>165</v>
      </c>
      <c r="B168" s="31">
        <v>136064</v>
      </c>
      <c r="C168" s="31">
        <v>828</v>
      </c>
      <c r="D168" s="9" t="s">
        <v>1638</v>
      </c>
      <c r="E168" s="24" t="s">
        <v>1441</v>
      </c>
      <c r="F168" s="11" t="s">
        <v>1586</v>
      </c>
      <c r="G168" s="31" t="s">
        <v>279</v>
      </c>
      <c r="H168" s="8" t="s">
        <v>151</v>
      </c>
      <c r="I168" s="12" t="s">
        <v>2686</v>
      </c>
      <c r="J168" s="25">
        <v>44025</v>
      </c>
      <c r="K168" s="25">
        <v>44878</v>
      </c>
      <c r="L168" s="26">
        <f t="shared" si="75"/>
        <v>85.000000030293194</v>
      </c>
      <c r="M168" s="11">
        <v>2</v>
      </c>
      <c r="N168" s="11" t="s">
        <v>280</v>
      </c>
      <c r="O168" s="11" t="s">
        <v>281</v>
      </c>
      <c r="P168" s="27" t="s">
        <v>174</v>
      </c>
      <c r="Q168" s="11" t="s">
        <v>34</v>
      </c>
      <c r="R168" s="2">
        <f t="shared" si="76"/>
        <v>2805910.13</v>
      </c>
      <c r="S168" s="2">
        <v>2805910.13</v>
      </c>
      <c r="T168" s="2">
        <v>0</v>
      </c>
      <c r="U168" s="1">
        <f t="shared" si="77"/>
        <v>429139.20000000001</v>
      </c>
      <c r="V168" s="28">
        <v>429139.20000000001</v>
      </c>
      <c r="W168" s="28">
        <v>0</v>
      </c>
      <c r="X168" s="1">
        <f t="shared" si="78"/>
        <v>66021.41</v>
      </c>
      <c r="Y168" s="2">
        <v>66021.41</v>
      </c>
      <c r="Z168" s="2">
        <v>0</v>
      </c>
      <c r="AA168" s="2">
        <f t="shared" si="79"/>
        <v>0</v>
      </c>
      <c r="AB168" s="2">
        <v>0</v>
      </c>
      <c r="AC168" s="2">
        <v>0</v>
      </c>
      <c r="AD168" s="16">
        <f t="shared" si="64"/>
        <v>3301070.74</v>
      </c>
      <c r="AE168" s="2">
        <v>0</v>
      </c>
      <c r="AF168" s="2">
        <f t="shared" si="80"/>
        <v>3301070.74</v>
      </c>
      <c r="AG168" s="38" t="s">
        <v>486</v>
      </c>
      <c r="AH168" s="29" t="s">
        <v>1857</v>
      </c>
      <c r="AI168" s="30">
        <f>255188.7+321492.74+23599.4</f>
        <v>600280.84</v>
      </c>
      <c r="AJ168" s="30">
        <f>39028.86+49169.48+3609.32</f>
        <v>91807.66</v>
      </c>
    </row>
    <row r="169" spans="1:36" ht="157.5" x14ac:dyDescent="0.25">
      <c r="A169" s="6">
        <v>166</v>
      </c>
      <c r="B169" s="31">
        <v>135502</v>
      </c>
      <c r="C169" s="31">
        <v>849</v>
      </c>
      <c r="D169" s="9" t="s">
        <v>1638</v>
      </c>
      <c r="E169" s="24" t="s">
        <v>1441</v>
      </c>
      <c r="F169" s="11" t="s">
        <v>1893</v>
      </c>
      <c r="G169" s="31" t="s">
        <v>1589</v>
      </c>
      <c r="H169" s="11" t="s">
        <v>1590</v>
      </c>
      <c r="I169" s="12" t="s">
        <v>2687</v>
      </c>
      <c r="J169" s="25">
        <v>44032</v>
      </c>
      <c r="K169" s="25">
        <v>44946</v>
      </c>
      <c r="L169" s="26">
        <f t="shared" si="75"/>
        <v>84.492445397023275</v>
      </c>
      <c r="M169" s="11">
        <v>2</v>
      </c>
      <c r="N169" s="11" t="s">
        <v>280</v>
      </c>
      <c r="O169" s="11" t="s">
        <v>280</v>
      </c>
      <c r="P169" s="27" t="s">
        <v>174</v>
      </c>
      <c r="Q169" s="11" t="s">
        <v>34</v>
      </c>
      <c r="R169" s="2">
        <f t="shared" si="76"/>
        <v>3125976.55</v>
      </c>
      <c r="S169" s="2">
        <v>3125976.55</v>
      </c>
      <c r="T169" s="2">
        <v>0</v>
      </c>
      <c r="U169" s="1">
        <f t="shared" si="77"/>
        <v>499740.52</v>
      </c>
      <c r="V169" s="28">
        <v>499740.52</v>
      </c>
      <c r="W169" s="28">
        <v>0</v>
      </c>
      <c r="X169" s="1">
        <f t="shared" si="78"/>
        <v>73994.23</v>
      </c>
      <c r="Y169" s="2">
        <v>73994.23</v>
      </c>
      <c r="Z169" s="2">
        <v>0</v>
      </c>
      <c r="AA169" s="2">
        <f t="shared" si="79"/>
        <v>0</v>
      </c>
      <c r="AB169" s="2">
        <v>0</v>
      </c>
      <c r="AC169" s="2">
        <v>0</v>
      </c>
      <c r="AD169" s="16">
        <f t="shared" si="64"/>
        <v>3699711.3</v>
      </c>
      <c r="AE169" s="2">
        <v>0</v>
      </c>
      <c r="AF169" s="2">
        <f t="shared" si="80"/>
        <v>3699711.3</v>
      </c>
      <c r="AG169" s="38" t="s">
        <v>486</v>
      </c>
      <c r="AH169" s="29" t="s">
        <v>3231</v>
      </c>
      <c r="AI169" s="30">
        <f>101000-5334.64-7508.09+112268.94+60282.54+93296+115256.38+13832.64+101000+92451.86+107528.1+81718.97</f>
        <v>865792.7</v>
      </c>
      <c r="AJ169" s="30">
        <f>5334.64+10222.53+1723.49+10638.1+16464+20339.36+20185.71+16100.84+18901.32+14420.99</f>
        <v>134330.97999999998</v>
      </c>
    </row>
    <row r="170" spans="1:36" ht="189" x14ac:dyDescent="0.25">
      <c r="A170" s="6">
        <v>167</v>
      </c>
      <c r="B170" s="31">
        <v>135880</v>
      </c>
      <c r="C170" s="31">
        <v>854</v>
      </c>
      <c r="D170" s="9" t="s">
        <v>1638</v>
      </c>
      <c r="E170" s="24" t="s">
        <v>1441</v>
      </c>
      <c r="F170" s="11" t="s">
        <v>1610</v>
      </c>
      <c r="G170" s="31" t="s">
        <v>1611</v>
      </c>
      <c r="H170" s="11" t="s">
        <v>1612</v>
      </c>
      <c r="I170" s="12" t="s">
        <v>1613</v>
      </c>
      <c r="J170" s="25">
        <v>44050</v>
      </c>
      <c r="K170" s="25">
        <v>45206</v>
      </c>
      <c r="L170" s="26">
        <f t="shared" si="75"/>
        <v>84.337001452313444</v>
      </c>
      <c r="M170" s="11">
        <v>2</v>
      </c>
      <c r="N170" s="11" t="s">
        <v>280</v>
      </c>
      <c r="O170" s="11" t="s">
        <v>1614</v>
      </c>
      <c r="P170" s="27" t="s">
        <v>174</v>
      </c>
      <c r="Q170" s="11" t="s">
        <v>34</v>
      </c>
      <c r="R170" s="2">
        <f t="shared" si="76"/>
        <v>2240754.7000000002</v>
      </c>
      <c r="S170" s="2">
        <v>2240754.7000000002</v>
      </c>
      <c r="T170" s="2">
        <v>0</v>
      </c>
      <c r="U170" s="1">
        <f t="shared" si="77"/>
        <v>363013.19</v>
      </c>
      <c r="V170" s="28">
        <v>363013.19</v>
      </c>
      <c r="W170" s="28">
        <v>0</v>
      </c>
      <c r="X170" s="1">
        <f t="shared" si="78"/>
        <v>32414.09</v>
      </c>
      <c r="Y170" s="2">
        <v>32414.09</v>
      </c>
      <c r="Z170" s="2">
        <v>0</v>
      </c>
      <c r="AA170" s="2">
        <f t="shared" si="79"/>
        <v>20723.84</v>
      </c>
      <c r="AB170" s="2">
        <v>20723.84</v>
      </c>
      <c r="AC170" s="2">
        <v>0</v>
      </c>
      <c r="AD170" s="16">
        <f t="shared" si="64"/>
        <v>2656905.8199999998</v>
      </c>
      <c r="AE170" s="2">
        <v>0</v>
      </c>
      <c r="AF170" s="2">
        <f t="shared" si="80"/>
        <v>2656905.8199999998</v>
      </c>
      <c r="AG170" s="38" t="s">
        <v>486</v>
      </c>
      <c r="AH170" s="29" t="s">
        <v>3289</v>
      </c>
      <c r="AI170" s="30">
        <f>265690.57-11802.77+78685.18-11027.93+167825.48-8670.03+192124.91+162070.57+21342.65+151276.14-11322.39</f>
        <v>996192.38</v>
      </c>
      <c r="AJ170" s="30">
        <f>11802.77+11027.93+25667.43+8670.03+34683.88+3264.17+26695.78+11322.39</f>
        <v>133134.38</v>
      </c>
    </row>
    <row r="171" spans="1:36" ht="299.25" x14ac:dyDescent="0.25">
      <c r="A171" s="6">
        <v>168</v>
      </c>
      <c r="B171" s="31">
        <v>152010</v>
      </c>
      <c r="C171" s="31">
        <v>1116</v>
      </c>
      <c r="D171" s="9" t="s">
        <v>1639</v>
      </c>
      <c r="E171" s="24" t="s">
        <v>1801</v>
      </c>
      <c r="F171" s="11" t="s">
        <v>1830</v>
      </c>
      <c r="G171" s="31" t="s">
        <v>1653</v>
      </c>
      <c r="H171" s="11" t="s">
        <v>1831</v>
      </c>
      <c r="I171" s="12" t="s">
        <v>2688</v>
      </c>
      <c r="J171" s="25">
        <v>44489</v>
      </c>
      <c r="K171" s="25">
        <v>44977</v>
      </c>
      <c r="L171" s="26">
        <f t="shared" si="75"/>
        <v>84.999998848548771</v>
      </c>
      <c r="M171" s="11">
        <v>2</v>
      </c>
      <c r="N171" s="11" t="s">
        <v>280</v>
      </c>
      <c r="O171" s="11" t="s">
        <v>280</v>
      </c>
      <c r="P171" s="27" t="s">
        <v>174</v>
      </c>
      <c r="Q171" s="11" t="s">
        <v>34</v>
      </c>
      <c r="R171" s="2">
        <f t="shared" si="76"/>
        <v>332189.49</v>
      </c>
      <c r="S171" s="2">
        <v>332189.49</v>
      </c>
      <c r="T171" s="2">
        <v>0</v>
      </c>
      <c r="U171" s="1">
        <f t="shared" si="77"/>
        <v>46217.52</v>
      </c>
      <c r="V171" s="28">
        <v>46217.52</v>
      </c>
      <c r="W171" s="28">
        <v>0</v>
      </c>
      <c r="X171" s="1">
        <f t="shared" si="78"/>
        <v>12404.16</v>
      </c>
      <c r="Y171" s="2">
        <v>12404.16</v>
      </c>
      <c r="Z171" s="2">
        <v>0</v>
      </c>
      <c r="AA171" s="2">
        <f t="shared" si="79"/>
        <v>0</v>
      </c>
      <c r="AB171" s="2">
        <v>0</v>
      </c>
      <c r="AC171" s="2">
        <v>0</v>
      </c>
      <c r="AD171" s="16">
        <f t="shared" si="64"/>
        <v>390811.17</v>
      </c>
      <c r="AE171" s="2">
        <v>0</v>
      </c>
      <c r="AF171" s="2">
        <f t="shared" si="80"/>
        <v>390811.17</v>
      </c>
      <c r="AG171" s="38" t="s">
        <v>486</v>
      </c>
      <c r="AH171" s="29"/>
      <c r="AI171" s="30">
        <f>768.74+5744.31+44414.97</f>
        <v>50928.020000000004</v>
      </c>
      <c r="AJ171" s="30">
        <f>117.57+878.54+6792.88</f>
        <v>7788.99</v>
      </c>
    </row>
    <row r="172" spans="1:36" ht="173.25" x14ac:dyDescent="0.25">
      <c r="A172" s="6">
        <v>169</v>
      </c>
      <c r="B172" s="31">
        <v>152221</v>
      </c>
      <c r="C172" s="31">
        <v>1122</v>
      </c>
      <c r="D172" s="9" t="s">
        <v>1639</v>
      </c>
      <c r="E172" s="24" t="s">
        <v>1801</v>
      </c>
      <c r="F172" s="11" t="s">
        <v>1858</v>
      </c>
      <c r="G172" s="31" t="s">
        <v>1611</v>
      </c>
      <c r="H172" s="8" t="s">
        <v>151</v>
      </c>
      <c r="I172" s="12" t="s">
        <v>1859</v>
      </c>
      <c r="J172" s="25">
        <v>44509</v>
      </c>
      <c r="K172" s="25">
        <v>44935</v>
      </c>
      <c r="L172" s="26">
        <f t="shared" si="75"/>
        <v>85.000001218573288</v>
      </c>
      <c r="M172" s="11">
        <v>2</v>
      </c>
      <c r="N172" s="11" t="s">
        <v>280</v>
      </c>
      <c r="O172" s="11" t="s">
        <v>1614</v>
      </c>
      <c r="P172" s="27" t="s">
        <v>174</v>
      </c>
      <c r="Q172" s="11" t="s">
        <v>34</v>
      </c>
      <c r="R172" s="2">
        <f t="shared" si="76"/>
        <v>348768.52</v>
      </c>
      <c r="S172" s="2">
        <v>348768.52</v>
      </c>
      <c r="T172" s="2">
        <v>0</v>
      </c>
      <c r="U172" s="1">
        <f t="shared" si="77"/>
        <v>53341.06</v>
      </c>
      <c r="V172" s="28">
        <v>53341.06</v>
      </c>
      <c r="W172" s="28">
        <v>0</v>
      </c>
      <c r="X172" s="1">
        <f t="shared" si="78"/>
        <v>8206.32</v>
      </c>
      <c r="Y172" s="2">
        <v>8206.32</v>
      </c>
      <c r="Z172" s="2">
        <v>0</v>
      </c>
      <c r="AA172" s="2">
        <f t="shared" si="79"/>
        <v>0</v>
      </c>
      <c r="AB172" s="2">
        <v>0</v>
      </c>
      <c r="AC172" s="2">
        <v>0</v>
      </c>
      <c r="AD172" s="16">
        <f t="shared" si="64"/>
        <v>410315.9</v>
      </c>
      <c r="AE172" s="2">
        <v>0</v>
      </c>
      <c r="AF172" s="2">
        <f t="shared" si="80"/>
        <v>410315.9</v>
      </c>
      <c r="AG172" s="38" t="s">
        <v>486</v>
      </c>
      <c r="AH172" s="29"/>
      <c r="AI172" s="30">
        <v>45517.5</v>
      </c>
      <c r="AJ172" s="30">
        <v>6961.5</v>
      </c>
    </row>
    <row r="173" spans="1:36" ht="267.75" x14ac:dyDescent="0.25">
      <c r="A173" s="6">
        <v>170</v>
      </c>
      <c r="B173" s="31">
        <v>152212</v>
      </c>
      <c r="C173" s="31">
        <v>1144</v>
      </c>
      <c r="D173" s="9" t="s">
        <v>1639</v>
      </c>
      <c r="E173" s="24" t="s">
        <v>1801</v>
      </c>
      <c r="F173" s="11" t="s">
        <v>1935</v>
      </c>
      <c r="G173" s="31" t="s">
        <v>279</v>
      </c>
      <c r="H173" s="8" t="s">
        <v>151</v>
      </c>
      <c r="I173" s="12" t="s">
        <v>2689</v>
      </c>
      <c r="J173" s="25">
        <v>44544</v>
      </c>
      <c r="K173" s="25">
        <v>44909</v>
      </c>
      <c r="L173" s="26">
        <f t="shared" si="75"/>
        <v>85.000000000000014</v>
      </c>
      <c r="M173" s="11">
        <v>2</v>
      </c>
      <c r="N173" s="11" t="s">
        <v>280</v>
      </c>
      <c r="O173" s="11" t="s">
        <v>281</v>
      </c>
      <c r="P173" s="27" t="s">
        <v>174</v>
      </c>
      <c r="Q173" s="11" t="s">
        <v>34</v>
      </c>
      <c r="R173" s="2">
        <f t="shared" si="76"/>
        <v>352608.9</v>
      </c>
      <c r="S173" s="2">
        <v>352608.9</v>
      </c>
      <c r="T173" s="2">
        <v>0</v>
      </c>
      <c r="U173" s="1">
        <f t="shared" si="77"/>
        <v>53928.42</v>
      </c>
      <c r="V173" s="28">
        <v>53928.42</v>
      </c>
      <c r="W173" s="28">
        <v>0</v>
      </c>
      <c r="X173" s="1">
        <f t="shared" si="78"/>
        <v>8296.68</v>
      </c>
      <c r="Y173" s="2">
        <v>8296.68</v>
      </c>
      <c r="Z173" s="2">
        <v>0</v>
      </c>
      <c r="AA173" s="2">
        <f t="shared" si="79"/>
        <v>0</v>
      </c>
      <c r="AB173" s="2">
        <v>0</v>
      </c>
      <c r="AC173" s="2">
        <v>0</v>
      </c>
      <c r="AD173" s="16">
        <f t="shared" si="64"/>
        <v>414834</v>
      </c>
      <c r="AE173" s="2">
        <v>0</v>
      </c>
      <c r="AF173" s="2">
        <f t="shared" si="80"/>
        <v>414834</v>
      </c>
      <c r="AG173" s="38" t="s">
        <v>486</v>
      </c>
      <c r="AH173" s="29"/>
      <c r="AI173" s="30">
        <v>0</v>
      </c>
      <c r="AJ173" s="30">
        <v>0</v>
      </c>
    </row>
    <row r="174" spans="1:36" ht="141.75" x14ac:dyDescent="0.25">
      <c r="A174" s="6">
        <v>171</v>
      </c>
      <c r="B174" s="31">
        <v>155101</v>
      </c>
      <c r="C174" s="31">
        <v>1169</v>
      </c>
      <c r="D174" s="9" t="s">
        <v>1638</v>
      </c>
      <c r="E174" s="24" t="s">
        <v>2012</v>
      </c>
      <c r="F174" s="11" t="s">
        <v>2018</v>
      </c>
      <c r="G174" s="31" t="s">
        <v>2017</v>
      </c>
      <c r="H174" s="8" t="s">
        <v>151</v>
      </c>
      <c r="I174" s="12" t="s">
        <v>2690</v>
      </c>
      <c r="J174" s="25">
        <v>44637</v>
      </c>
      <c r="K174" s="25">
        <v>45124</v>
      </c>
      <c r="L174" s="26">
        <f t="shared" si="75"/>
        <v>85</v>
      </c>
      <c r="M174" s="11">
        <v>2</v>
      </c>
      <c r="N174" s="11" t="s">
        <v>280</v>
      </c>
      <c r="O174" s="11" t="s">
        <v>2019</v>
      </c>
      <c r="P174" s="27" t="s">
        <v>174</v>
      </c>
      <c r="Q174" s="11" t="s">
        <v>34</v>
      </c>
      <c r="R174" s="2">
        <f t="shared" si="76"/>
        <v>1254107</v>
      </c>
      <c r="S174" s="2">
        <v>1254107</v>
      </c>
      <c r="T174" s="2">
        <v>0</v>
      </c>
      <c r="U174" s="1">
        <f t="shared" si="77"/>
        <v>191804.6</v>
      </c>
      <c r="V174" s="28">
        <v>191804.6</v>
      </c>
      <c r="W174" s="28">
        <v>0</v>
      </c>
      <c r="X174" s="1">
        <f t="shared" si="78"/>
        <v>29508.400000000001</v>
      </c>
      <c r="Y174" s="2">
        <v>29508.400000000001</v>
      </c>
      <c r="Z174" s="2">
        <v>0</v>
      </c>
      <c r="AA174" s="2">
        <f t="shared" si="79"/>
        <v>0</v>
      </c>
      <c r="AB174" s="2">
        <v>0</v>
      </c>
      <c r="AC174" s="2">
        <v>0</v>
      </c>
      <c r="AD174" s="16">
        <f t="shared" si="64"/>
        <v>1475420</v>
      </c>
      <c r="AE174" s="2">
        <v>0</v>
      </c>
      <c r="AF174" s="2">
        <f t="shared" si="80"/>
        <v>1475420</v>
      </c>
      <c r="AG174" s="38" t="s">
        <v>486</v>
      </c>
      <c r="AH174" s="29"/>
      <c r="AI174" s="30">
        <f>145000-14309.75</f>
        <v>130690.25</v>
      </c>
      <c r="AJ174" s="30">
        <f>14309.75</f>
        <v>14309.75</v>
      </c>
    </row>
    <row r="175" spans="1:36" ht="141.75" x14ac:dyDescent="0.25">
      <c r="A175" s="6">
        <v>172</v>
      </c>
      <c r="B175" s="31">
        <v>154771</v>
      </c>
      <c r="C175" s="31">
        <v>1183</v>
      </c>
      <c r="D175" s="9" t="s">
        <v>1638</v>
      </c>
      <c r="E175" s="24" t="s">
        <v>2012</v>
      </c>
      <c r="F175" s="11" t="s">
        <v>2058</v>
      </c>
      <c r="G175" s="31" t="s">
        <v>2057</v>
      </c>
      <c r="H175" s="8" t="s">
        <v>151</v>
      </c>
      <c r="I175" s="12" t="s">
        <v>2691</v>
      </c>
      <c r="J175" s="25">
        <v>44649</v>
      </c>
      <c r="K175" s="25">
        <v>45136</v>
      </c>
      <c r="L175" s="26">
        <f t="shared" si="75"/>
        <v>85</v>
      </c>
      <c r="M175" s="11">
        <v>2</v>
      </c>
      <c r="N175" s="11" t="s">
        <v>280</v>
      </c>
      <c r="O175" s="11" t="s">
        <v>2059</v>
      </c>
      <c r="P175" s="27" t="s">
        <v>174</v>
      </c>
      <c r="Q175" s="11" t="s">
        <v>34</v>
      </c>
      <c r="R175" s="2">
        <f t="shared" si="76"/>
        <v>1254107</v>
      </c>
      <c r="S175" s="2">
        <v>1254107</v>
      </c>
      <c r="T175" s="2">
        <v>0</v>
      </c>
      <c r="U175" s="1">
        <f t="shared" si="77"/>
        <v>191804.6</v>
      </c>
      <c r="V175" s="28">
        <v>191804.6</v>
      </c>
      <c r="W175" s="28">
        <v>0</v>
      </c>
      <c r="X175" s="1">
        <f t="shared" si="78"/>
        <v>29508.400000000001</v>
      </c>
      <c r="Y175" s="2">
        <v>29508.400000000001</v>
      </c>
      <c r="Z175" s="2">
        <v>0</v>
      </c>
      <c r="AA175" s="2">
        <f t="shared" si="79"/>
        <v>0</v>
      </c>
      <c r="AB175" s="2">
        <v>0</v>
      </c>
      <c r="AC175" s="2">
        <v>0</v>
      </c>
      <c r="AD175" s="16">
        <f t="shared" si="64"/>
        <v>1475420</v>
      </c>
      <c r="AE175" s="2">
        <v>0</v>
      </c>
      <c r="AF175" s="2">
        <f t="shared" si="80"/>
        <v>1475420</v>
      </c>
      <c r="AG175" s="38" t="s">
        <v>486</v>
      </c>
      <c r="AH175" s="29"/>
      <c r="AI175" s="30">
        <f>145000-9428.74</f>
        <v>135571.26</v>
      </c>
      <c r="AJ175" s="30">
        <v>9428.74</v>
      </c>
    </row>
    <row r="176" spans="1:36" ht="236.25" x14ac:dyDescent="0.25">
      <c r="A176" s="6">
        <v>173</v>
      </c>
      <c r="B176" s="31">
        <v>154659</v>
      </c>
      <c r="C176" s="31">
        <v>1159</v>
      </c>
      <c r="D176" s="9" t="s">
        <v>1638</v>
      </c>
      <c r="E176" s="24" t="s">
        <v>2012</v>
      </c>
      <c r="F176" s="11" t="s">
        <v>2083</v>
      </c>
      <c r="G176" s="31" t="s">
        <v>2082</v>
      </c>
      <c r="H176" s="8" t="s">
        <v>151</v>
      </c>
      <c r="I176" s="12" t="s">
        <v>2692</v>
      </c>
      <c r="J176" s="25">
        <v>44655</v>
      </c>
      <c r="K176" s="25">
        <v>45142</v>
      </c>
      <c r="L176" s="26">
        <f t="shared" si="75"/>
        <v>85.000000291371691</v>
      </c>
      <c r="M176" s="11">
        <v>2</v>
      </c>
      <c r="N176" s="11" t="s">
        <v>280</v>
      </c>
      <c r="O176" s="11" t="s">
        <v>2084</v>
      </c>
      <c r="P176" s="27" t="s">
        <v>174</v>
      </c>
      <c r="Q176" s="11" t="s">
        <v>34</v>
      </c>
      <c r="R176" s="2">
        <f t="shared" si="76"/>
        <v>2187927.08</v>
      </c>
      <c r="S176" s="2">
        <v>2187927.08</v>
      </c>
      <c r="T176" s="2">
        <v>0</v>
      </c>
      <c r="U176" s="1">
        <f t="shared" si="77"/>
        <v>334624.13</v>
      </c>
      <c r="V176" s="28">
        <v>334624.13</v>
      </c>
      <c r="W176" s="28">
        <v>0</v>
      </c>
      <c r="X176" s="1">
        <f t="shared" si="78"/>
        <v>51480.639999999999</v>
      </c>
      <c r="Y176" s="2">
        <v>51480.639999999999</v>
      </c>
      <c r="Z176" s="2">
        <v>0</v>
      </c>
      <c r="AA176" s="2">
        <f t="shared" si="79"/>
        <v>0</v>
      </c>
      <c r="AB176" s="2">
        <v>0</v>
      </c>
      <c r="AC176" s="2">
        <v>0</v>
      </c>
      <c r="AD176" s="16">
        <f t="shared" si="64"/>
        <v>2574031.85</v>
      </c>
      <c r="AE176" s="2">
        <v>0</v>
      </c>
      <c r="AF176" s="2">
        <f t="shared" si="80"/>
        <v>2574031.85</v>
      </c>
      <c r="AG176" s="38" t="s">
        <v>486</v>
      </c>
      <c r="AH176" s="29"/>
      <c r="AI176" s="30">
        <f>161142.15</f>
        <v>161142.15</v>
      </c>
      <c r="AJ176" s="30">
        <f>24645.27</f>
        <v>24645.27</v>
      </c>
    </row>
    <row r="177" spans="1:37" ht="173.25" x14ac:dyDescent="0.25">
      <c r="A177" s="6">
        <v>174</v>
      </c>
      <c r="B177" s="31">
        <v>154594</v>
      </c>
      <c r="C177" s="31">
        <v>1182</v>
      </c>
      <c r="D177" s="9" t="s">
        <v>1638</v>
      </c>
      <c r="E177" s="24" t="s">
        <v>2012</v>
      </c>
      <c r="F177" s="11" t="s">
        <v>2197</v>
      </c>
      <c r="G177" s="31" t="s">
        <v>1653</v>
      </c>
      <c r="H177" s="8" t="s">
        <v>151</v>
      </c>
      <c r="I177" s="12" t="s">
        <v>2693</v>
      </c>
      <c r="J177" s="25">
        <v>44694</v>
      </c>
      <c r="K177" s="25">
        <v>45120</v>
      </c>
      <c r="L177" s="26">
        <f t="shared" si="75"/>
        <v>85.000001035993961</v>
      </c>
      <c r="M177" s="11">
        <v>2</v>
      </c>
      <c r="N177" s="11" t="s">
        <v>280</v>
      </c>
      <c r="O177" s="11" t="s">
        <v>280</v>
      </c>
      <c r="P177" s="27" t="s">
        <v>174</v>
      </c>
      <c r="Q177" s="11" t="s">
        <v>34</v>
      </c>
      <c r="R177" s="2">
        <f t="shared" si="76"/>
        <v>410234.06</v>
      </c>
      <c r="S177" s="2">
        <v>410234.06</v>
      </c>
      <c r="T177" s="2">
        <v>0</v>
      </c>
      <c r="U177" s="1">
        <f t="shared" si="77"/>
        <v>62741.67</v>
      </c>
      <c r="V177" s="28">
        <v>62741.67</v>
      </c>
      <c r="W177" s="28">
        <v>0</v>
      </c>
      <c r="X177" s="1">
        <f t="shared" si="78"/>
        <v>9652.57</v>
      </c>
      <c r="Y177" s="2">
        <v>9652.57</v>
      </c>
      <c r="Z177" s="2">
        <v>0</v>
      </c>
      <c r="AA177" s="2">
        <f t="shared" si="79"/>
        <v>0</v>
      </c>
      <c r="AB177" s="2">
        <v>0</v>
      </c>
      <c r="AC177" s="2">
        <v>0</v>
      </c>
      <c r="AD177" s="16">
        <f t="shared" si="64"/>
        <v>482628.3</v>
      </c>
      <c r="AE177" s="2">
        <v>0</v>
      </c>
      <c r="AF177" s="2">
        <f t="shared" si="80"/>
        <v>482628.3</v>
      </c>
      <c r="AG177" s="38" t="s">
        <v>486</v>
      </c>
      <c r="AH177" s="29"/>
      <c r="AI177" s="30">
        <v>0</v>
      </c>
      <c r="AJ177" s="30">
        <v>0</v>
      </c>
    </row>
    <row r="178" spans="1:37" ht="141.75" x14ac:dyDescent="0.25">
      <c r="A178" s="6">
        <v>175</v>
      </c>
      <c r="B178" s="31">
        <v>126515</v>
      </c>
      <c r="C178" s="11">
        <v>547</v>
      </c>
      <c r="D178" s="9" t="s">
        <v>1638</v>
      </c>
      <c r="E178" s="32" t="s">
        <v>899</v>
      </c>
      <c r="F178" s="27" t="s">
        <v>992</v>
      </c>
      <c r="G178" s="11" t="s">
        <v>993</v>
      </c>
      <c r="H178" s="8" t="s">
        <v>151</v>
      </c>
      <c r="I178" s="32" t="s">
        <v>1305</v>
      </c>
      <c r="J178" s="25">
        <v>43521</v>
      </c>
      <c r="K178" s="25">
        <v>44798</v>
      </c>
      <c r="L178" s="26">
        <f>R178/AD178*100</f>
        <v>84.999999929518182</v>
      </c>
      <c r="M178" s="11">
        <v>7</v>
      </c>
      <c r="N178" s="11" t="s">
        <v>994</v>
      </c>
      <c r="O178" s="11" t="s">
        <v>995</v>
      </c>
      <c r="P178" s="11" t="s">
        <v>174</v>
      </c>
      <c r="Q178" s="11" t="s">
        <v>34</v>
      </c>
      <c r="R178" s="1">
        <f>S178+T178</f>
        <v>2411970.2999999998</v>
      </c>
      <c r="S178" s="51">
        <v>2411970.2999999998</v>
      </c>
      <c r="T178" s="30">
        <v>0</v>
      </c>
      <c r="U178" s="1">
        <f t="shared" si="77"/>
        <v>368889.58</v>
      </c>
      <c r="V178" s="55">
        <v>368889.58</v>
      </c>
      <c r="W178" s="42">
        <v>0</v>
      </c>
      <c r="X178" s="1">
        <f t="shared" si="78"/>
        <v>56752.24</v>
      </c>
      <c r="Y178" s="51">
        <v>56752.24</v>
      </c>
      <c r="Z178" s="51">
        <v>0</v>
      </c>
      <c r="AA178" s="1">
        <f>AB178+AC178</f>
        <v>0</v>
      </c>
      <c r="AB178" s="51">
        <v>0</v>
      </c>
      <c r="AC178" s="51">
        <v>0</v>
      </c>
      <c r="AD178" s="16">
        <f t="shared" si="64"/>
        <v>2837612.12</v>
      </c>
      <c r="AE178" s="51">
        <v>72392.72</v>
      </c>
      <c r="AF178" s="2">
        <f>AD178+AE178</f>
        <v>2910004.8400000003</v>
      </c>
      <c r="AG178" s="38" t="s">
        <v>857</v>
      </c>
      <c r="AH178" s="38" t="s">
        <v>1791</v>
      </c>
      <c r="AI178" s="30">
        <f>41642.35+26052.89+215969.7+11456.3+369748.88+29499.25+500948.51+228723.1</f>
        <v>1424040.98</v>
      </c>
      <c r="AJ178" s="30">
        <f>6368.83+3984.56+33030.66+1752.14+56549.83+4511.65+76615.66+34981.18</f>
        <v>217794.51</v>
      </c>
    </row>
    <row r="179" spans="1:37" ht="141.75" x14ac:dyDescent="0.25">
      <c r="A179" s="6">
        <v>176</v>
      </c>
      <c r="B179" s="31">
        <v>154600</v>
      </c>
      <c r="C179" s="11">
        <v>1167</v>
      </c>
      <c r="D179" s="9" t="s">
        <v>1638</v>
      </c>
      <c r="E179" s="24" t="s">
        <v>2012</v>
      </c>
      <c r="F179" s="27" t="s">
        <v>2114</v>
      </c>
      <c r="G179" s="11" t="s">
        <v>2113</v>
      </c>
      <c r="H179" s="8" t="s">
        <v>151</v>
      </c>
      <c r="I179" s="32" t="s">
        <v>2694</v>
      </c>
      <c r="J179" s="25">
        <v>44662</v>
      </c>
      <c r="K179" s="25">
        <v>45149</v>
      </c>
      <c r="L179" s="26">
        <f>R179/AD179*100</f>
        <v>85.000000143943268</v>
      </c>
      <c r="M179" s="11">
        <v>7</v>
      </c>
      <c r="N179" s="11" t="s">
        <v>994</v>
      </c>
      <c r="O179" s="11" t="s">
        <v>995</v>
      </c>
      <c r="P179" s="11" t="s">
        <v>174</v>
      </c>
      <c r="Q179" s="11" t="s">
        <v>34</v>
      </c>
      <c r="R179" s="1">
        <f>S179+T179</f>
        <v>2952552.27</v>
      </c>
      <c r="S179" s="51">
        <v>2952552.27</v>
      </c>
      <c r="T179" s="30">
        <v>0</v>
      </c>
      <c r="U179" s="1">
        <f t="shared" si="77"/>
        <v>451566.82</v>
      </c>
      <c r="V179" s="55">
        <v>451566.82</v>
      </c>
      <c r="W179" s="42">
        <v>0</v>
      </c>
      <c r="X179" s="1">
        <f t="shared" si="78"/>
        <v>69471.81</v>
      </c>
      <c r="Y179" s="51">
        <v>69471.81</v>
      </c>
      <c r="Z179" s="51">
        <v>0</v>
      </c>
      <c r="AA179" s="1">
        <f>AB179+AC179</f>
        <v>0</v>
      </c>
      <c r="AB179" s="51">
        <v>0</v>
      </c>
      <c r="AC179" s="51">
        <v>0</v>
      </c>
      <c r="AD179" s="16">
        <f t="shared" si="64"/>
        <v>3473590.9</v>
      </c>
      <c r="AE179" s="51">
        <v>0</v>
      </c>
      <c r="AF179" s="2">
        <f>AD179+AE179</f>
        <v>3473590.9</v>
      </c>
      <c r="AG179" s="38" t="s">
        <v>486</v>
      </c>
      <c r="AH179" s="38"/>
      <c r="AI179" s="30">
        <v>107593.2</v>
      </c>
      <c r="AJ179" s="30">
        <v>16455.43</v>
      </c>
    </row>
    <row r="180" spans="1:37" s="185" customFormat="1" ht="189" x14ac:dyDescent="0.25">
      <c r="A180" s="6">
        <v>177</v>
      </c>
      <c r="B180" s="31">
        <v>120631</v>
      </c>
      <c r="C180" s="11">
        <v>81</v>
      </c>
      <c r="D180" s="9" t="s">
        <v>1638</v>
      </c>
      <c r="E180" s="24" t="s">
        <v>277</v>
      </c>
      <c r="F180" s="27" t="s">
        <v>187</v>
      </c>
      <c r="G180" s="27" t="s">
        <v>188</v>
      </c>
      <c r="H180" s="8" t="s">
        <v>151</v>
      </c>
      <c r="I180" s="32" t="s">
        <v>1212</v>
      </c>
      <c r="J180" s="25">
        <v>43129</v>
      </c>
      <c r="K180" s="25">
        <v>43614</v>
      </c>
      <c r="L180" s="26">
        <f t="shared" ref="L180:L187" si="81">R180/AD180*100</f>
        <v>84.999999195969949</v>
      </c>
      <c r="M180" s="11">
        <v>3</v>
      </c>
      <c r="N180" s="11" t="s">
        <v>189</v>
      </c>
      <c r="O180" s="11" t="s">
        <v>201</v>
      </c>
      <c r="P180" s="27" t="s">
        <v>174</v>
      </c>
      <c r="Q180" s="11" t="s">
        <v>34</v>
      </c>
      <c r="R180" s="2">
        <f t="shared" ref="R180:R187" si="82">S180+T180</f>
        <v>528587.19999999995</v>
      </c>
      <c r="S180" s="57">
        <v>528587.19999999995</v>
      </c>
      <c r="T180" s="30">
        <v>0</v>
      </c>
      <c r="U180" s="1">
        <f t="shared" ref="U180:U198" si="83">V180+W180</f>
        <v>80842.75</v>
      </c>
      <c r="V180" s="87">
        <v>80842.75</v>
      </c>
      <c r="W180" s="42">
        <v>0</v>
      </c>
      <c r="X180" s="1">
        <f t="shared" ref="X180:X198" si="84">Y180+Z180</f>
        <v>12437.35</v>
      </c>
      <c r="Y180" s="57">
        <v>12437.35</v>
      </c>
      <c r="Z180" s="2">
        <v>0</v>
      </c>
      <c r="AA180" s="2">
        <f t="shared" ref="AA180:AA187" si="85">AB180+AC180</f>
        <v>0</v>
      </c>
      <c r="AB180" s="2">
        <v>0</v>
      </c>
      <c r="AC180" s="2">
        <v>0</v>
      </c>
      <c r="AD180" s="16">
        <f t="shared" si="64"/>
        <v>621867.29999999993</v>
      </c>
      <c r="AE180" s="2">
        <v>0</v>
      </c>
      <c r="AF180" s="2">
        <f t="shared" ref="AF180:AF187" si="86">AD180+AE180</f>
        <v>621867.29999999993</v>
      </c>
      <c r="AG180" s="21" t="s">
        <v>857</v>
      </c>
      <c r="AH180" s="29" t="s">
        <v>151</v>
      </c>
      <c r="AI180" s="30">
        <v>445145.72000000009</v>
      </c>
      <c r="AJ180" s="30">
        <v>68081.099999999919</v>
      </c>
    </row>
    <row r="181" spans="1:37" ht="204.75" x14ac:dyDescent="0.25">
      <c r="A181" s="6">
        <v>178</v>
      </c>
      <c r="B181" s="31">
        <v>118772</v>
      </c>
      <c r="C181" s="31">
        <v>441</v>
      </c>
      <c r="D181" s="32" t="s">
        <v>1639</v>
      </c>
      <c r="E181" s="32" t="s">
        <v>507</v>
      </c>
      <c r="F181" s="27" t="s">
        <v>706</v>
      </c>
      <c r="G181" s="27" t="s">
        <v>705</v>
      </c>
      <c r="H181" s="8" t="s">
        <v>151</v>
      </c>
      <c r="I181" s="32" t="s">
        <v>707</v>
      </c>
      <c r="J181" s="25">
        <v>43313</v>
      </c>
      <c r="K181" s="25">
        <v>43678</v>
      </c>
      <c r="L181" s="26">
        <f t="shared" si="81"/>
        <v>85</v>
      </c>
      <c r="M181" s="40">
        <v>3</v>
      </c>
      <c r="N181" s="11" t="s">
        <v>189</v>
      </c>
      <c r="O181" s="11" t="s">
        <v>708</v>
      </c>
      <c r="P181" s="27" t="s">
        <v>174</v>
      </c>
      <c r="Q181" s="11" t="s">
        <v>34</v>
      </c>
      <c r="R181" s="2">
        <f t="shared" si="82"/>
        <v>232055.1</v>
      </c>
      <c r="S181" s="30">
        <v>232055.1</v>
      </c>
      <c r="T181" s="30">
        <v>0</v>
      </c>
      <c r="U181" s="1">
        <f t="shared" si="83"/>
        <v>35490.78</v>
      </c>
      <c r="V181" s="42">
        <v>35490.78</v>
      </c>
      <c r="W181" s="42">
        <v>0</v>
      </c>
      <c r="X181" s="1">
        <f t="shared" si="84"/>
        <v>5460.12</v>
      </c>
      <c r="Y181" s="30">
        <v>5460.12</v>
      </c>
      <c r="Z181" s="30">
        <v>0</v>
      </c>
      <c r="AA181" s="2">
        <f t="shared" si="85"/>
        <v>0</v>
      </c>
      <c r="AB181" s="30">
        <v>0</v>
      </c>
      <c r="AC181" s="30">
        <v>0</v>
      </c>
      <c r="AD181" s="16">
        <f t="shared" si="64"/>
        <v>273006</v>
      </c>
      <c r="AE181" s="35">
        <v>0</v>
      </c>
      <c r="AF181" s="2">
        <f t="shared" si="86"/>
        <v>273006</v>
      </c>
      <c r="AG181" s="21" t="s">
        <v>857</v>
      </c>
      <c r="AH181" s="29" t="s">
        <v>151</v>
      </c>
      <c r="AI181" s="30">
        <v>226177.33000000002</v>
      </c>
      <c r="AJ181" s="30">
        <v>34591.82</v>
      </c>
    </row>
    <row r="182" spans="1:37" ht="310.5" customHeight="1" x14ac:dyDescent="0.25">
      <c r="A182" s="6">
        <v>179</v>
      </c>
      <c r="B182" s="31">
        <v>129704</v>
      </c>
      <c r="C182" s="31">
        <v>671</v>
      </c>
      <c r="D182" s="9" t="s">
        <v>1638</v>
      </c>
      <c r="E182" s="32" t="s">
        <v>1071</v>
      </c>
      <c r="F182" s="88" t="s">
        <v>1251</v>
      </c>
      <c r="G182" s="27" t="str">
        <f>$G$181</f>
        <v>Municipiul Moreni</v>
      </c>
      <c r="H182" s="8" t="s">
        <v>151</v>
      </c>
      <c r="I182" s="32" t="s">
        <v>2695</v>
      </c>
      <c r="J182" s="25">
        <v>43706</v>
      </c>
      <c r="K182" s="25">
        <v>44741</v>
      </c>
      <c r="L182" s="26">
        <f t="shared" si="81"/>
        <v>84.999999926251363</v>
      </c>
      <c r="M182" s="40">
        <f>M181</f>
        <v>3</v>
      </c>
      <c r="N182" s="11" t="str">
        <f>N181</f>
        <v>Dâmbovița</v>
      </c>
      <c r="O182" s="11" t="str">
        <f>O181</f>
        <v>Moreni</v>
      </c>
      <c r="P182" s="27" t="str">
        <f>P181</f>
        <v>APL</v>
      </c>
      <c r="Q182" s="11" t="str">
        <f>Q181</f>
        <v>119 - Investiții în capacitatea instituțională și în eficiența administrațiilor și a serviciilor publice la nivel național, regional și local, în perspectiva realizării de reforme, a unei mai bune legiferări și a bunei guvernanțe</v>
      </c>
      <c r="R182" s="2">
        <f t="shared" si="82"/>
        <v>1152563.67</v>
      </c>
      <c r="S182" s="30">
        <v>1152563.67</v>
      </c>
      <c r="T182" s="30">
        <v>0</v>
      </c>
      <c r="U182" s="1">
        <f t="shared" si="83"/>
        <v>176274.44</v>
      </c>
      <c r="V182" s="42">
        <v>176274.44</v>
      </c>
      <c r="W182" s="42">
        <v>0</v>
      </c>
      <c r="X182" s="1">
        <f t="shared" si="84"/>
        <v>27119.15</v>
      </c>
      <c r="Y182" s="30">
        <v>27119.15</v>
      </c>
      <c r="Z182" s="30">
        <v>0</v>
      </c>
      <c r="AA182" s="2">
        <f t="shared" si="85"/>
        <v>0</v>
      </c>
      <c r="AB182" s="30">
        <v>0</v>
      </c>
      <c r="AC182" s="30">
        <v>0</v>
      </c>
      <c r="AD182" s="16">
        <f t="shared" si="64"/>
        <v>1355957.2599999998</v>
      </c>
      <c r="AE182" s="55">
        <v>0</v>
      </c>
      <c r="AF182" s="2">
        <f t="shared" si="86"/>
        <v>1355957.2599999998</v>
      </c>
      <c r="AG182" s="38" t="s">
        <v>857</v>
      </c>
      <c r="AH182" s="29" t="s">
        <v>1861</v>
      </c>
      <c r="AI182" s="30">
        <f>122408.7+133598.52+207668.6+365655.55+108654.97+135595.72+35458.89</f>
        <v>1109040.9499999997</v>
      </c>
      <c r="AJ182" s="30">
        <f>13187.02+5228.86+31761.08+55923.79+37355.96+26161.3</f>
        <v>169618.00999999998</v>
      </c>
    </row>
    <row r="183" spans="1:37" ht="204.75" x14ac:dyDescent="0.25">
      <c r="A183" s="6">
        <v>180</v>
      </c>
      <c r="B183" s="31">
        <v>135834</v>
      </c>
      <c r="C183" s="31">
        <v>853</v>
      </c>
      <c r="D183" s="9" t="s">
        <v>1638</v>
      </c>
      <c r="E183" s="24" t="s">
        <v>1441</v>
      </c>
      <c r="F183" s="88" t="s">
        <v>1493</v>
      </c>
      <c r="G183" s="27" t="s">
        <v>188</v>
      </c>
      <c r="H183" s="8" t="s">
        <v>151</v>
      </c>
      <c r="I183" s="32" t="s">
        <v>2696</v>
      </c>
      <c r="J183" s="25">
        <v>43969</v>
      </c>
      <c r="K183" s="25">
        <v>45064</v>
      </c>
      <c r="L183" s="26">
        <f t="shared" si="81"/>
        <v>85.000000013095061</v>
      </c>
      <c r="M183" s="40">
        <f>M182</f>
        <v>3</v>
      </c>
      <c r="N183" s="11" t="str">
        <f>N182</f>
        <v>Dâmbovița</v>
      </c>
      <c r="O183" s="11" t="s">
        <v>1494</v>
      </c>
      <c r="P183" s="27" t="str">
        <f>P182</f>
        <v>APL</v>
      </c>
      <c r="Q183" s="11" t="s">
        <v>34</v>
      </c>
      <c r="R183" s="2">
        <f t="shared" si="82"/>
        <v>3245498.96</v>
      </c>
      <c r="S183" s="30">
        <v>3245498.96</v>
      </c>
      <c r="T183" s="30">
        <v>0</v>
      </c>
      <c r="U183" s="1">
        <f t="shared" si="83"/>
        <v>496370.44</v>
      </c>
      <c r="V183" s="42">
        <v>496370.44</v>
      </c>
      <c r="W183" s="42">
        <v>0</v>
      </c>
      <c r="X183" s="1">
        <f t="shared" si="84"/>
        <v>76364.67</v>
      </c>
      <c r="Y183" s="30">
        <v>76364.67</v>
      </c>
      <c r="Z183" s="30">
        <v>0</v>
      </c>
      <c r="AA183" s="2">
        <f t="shared" si="85"/>
        <v>0</v>
      </c>
      <c r="AB183" s="30">
        <v>0</v>
      </c>
      <c r="AC183" s="30">
        <v>0</v>
      </c>
      <c r="AD183" s="16">
        <f t="shared" si="64"/>
        <v>3818234.07</v>
      </c>
      <c r="AE183" s="55">
        <v>0</v>
      </c>
      <c r="AF183" s="2">
        <f t="shared" si="86"/>
        <v>3818234.07</v>
      </c>
      <c r="AG183" s="38" t="s">
        <v>486</v>
      </c>
      <c r="AH183" s="29" t="s">
        <v>2542</v>
      </c>
      <c r="AI183" s="30">
        <f>40624.48+115154.93+779307.87+377086.94</f>
        <v>1312174.22</v>
      </c>
      <c r="AJ183" s="30">
        <f>6213.16+17611.93+119188.26+57672.12</f>
        <v>200685.47</v>
      </c>
    </row>
    <row r="184" spans="1:37" ht="141.75" x14ac:dyDescent="0.25">
      <c r="A184" s="6">
        <v>181</v>
      </c>
      <c r="B184" s="31">
        <v>152159</v>
      </c>
      <c r="C184" s="31">
        <v>1138</v>
      </c>
      <c r="D184" s="9" t="s">
        <v>1639</v>
      </c>
      <c r="E184" s="24" t="s">
        <v>1801</v>
      </c>
      <c r="F184" s="88" t="s">
        <v>1867</v>
      </c>
      <c r="G184" s="27" t="s">
        <v>1868</v>
      </c>
      <c r="H184" s="8" t="s">
        <v>151</v>
      </c>
      <c r="I184" s="32" t="s">
        <v>2697</v>
      </c>
      <c r="J184" s="25">
        <v>44518</v>
      </c>
      <c r="K184" s="25">
        <v>44883</v>
      </c>
      <c r="L184" s="26">
        <f t="shared" si="81"/>
        <v>85.000000000000014</v>
      </c>
      <c r="M184" s="11">
        <v>3</v>
      </c>
      <c r="N184" s="11" t="s">
        <v>189</v>
      </c>
      <c r="O184" s="11" t="s">
        <v>201</v>
      </c>
      <c r="P184" s="27" t="s">
        <v>174</v>
      </c>
      <c r="Q184" s="11" t="s">
        <v>34</v>
      </c>
      <c r="R184" s="2">
        <f t="shared" si="82"/>
        <v>352396.4</v>
      </c>
      <c r="S184" s="30">
        <v>352396.4</v>
      </c>
      <c r="T184" s="30">
        <v>0</v>
      </c>
      <c r="U184" s="1">
        <f t="shared" si="83"/>
        <v>53895.92</v>
      </c>
      <c r="V184" s="42">
        <v>53895.92</v>
      </c>
      <c r="W184" s="42">
        <v>0</v>
      </c>
      <c r="X184" s="1">
        <f t="shared" si="84"/>
        <v>8291.68</v>
      </c>
      <c r="Y184" s="30">
        <v>8291.68</v>
      </c>
      <c r="Z184" s="30">
        <v>0</v>
      </c>
      <c r="AA184" s="2">
        <f t="shared" si="85"/>
        <v>0</v>
      </c>
      <c r="AB184" s="30">
        <v>0</v>
      </c>
      <c r="AC184" s="30">
        <v>0</v>
      </c>
      <c r="AD184" s="16">
        <f t="shared" si="64"/>
        <v>414584</v>
      </c>
      <c r="AE184" s="55">
        <v>0</v>
      </c>
      <c r="AF184" s="2">
        <f t="shared" si="86"/>
        <v>414584</v>
      </c>
      <c r="AG184" s="38" t="s">
        <v>486</v>
      </c>
      <c r="AH184" s="29"/>
      <c r="AI184" s="30">
        <f>2994.08+140092.75+104276.05</f>
        <v>247362.88</v>
      </c>
      <c r="AJ184" s="30">
        <f>457.92+21425.95+15948.1</f>
        <v>37831.97</v>
      </c>
    </row>
    <row r="185" spans="1:37" ht="173.25" x14ac:dyDescent="0.25">
      <c r="A185" s="6">
        <v>182</v>
      </c>
      <c r="B185" s="31">
        <v>154915</v>
      </c>
      <c r="C185" s="31">
        <v>1194</v>
      </c>
      <c r="D185" s="9" t="s">
        <v>1638</v>
      </c>
      <c r="E185" s="24" t="s">
        <v>2012</v>
      </c>
      <c r="F185" s="88" t="s">
        <v>2072</v>
      </c>
      <c r="G185" s="27" t="s">
        <v>2071</v>
      </c>
      <c r="H185" s="8" t="s">
        <v>151</v>
      </c>
      <c r="I185" s="32" t="s">
        <v>2698</v>
      </c>
      <c r="J185" s="25">
        <v>44655</v>
      </c>
      <c r="K185" s="25">
        <v>45142</v>
      </c>
      <c r="L185" s="26">
        <f t="shared" si="81"/>
        <v>85</v>
      </c>
      <c r="M185" s="11">
        <v>3</v>
      </c>
      <c r="N185" s="11" t="s">
        <v>189</v>
      </c>
      <c r="O185" s="11" t="s">
        <v>201</v>
      </c>
      <c r="P185" s="27" t="s">
        <v>174</v>
      </c>
      <c r="Q185" s="11" t="s">
        <v>34</v>
      </c>
      <c r="R185" s="2">
        <f t="shared" si="82"/>
        <v>2475696.4</v>
      </c>
      <c r="S185" s="30">
        <v>2475696.4</v>
      </c>
      <c r="T185" s="30">
        <v>0</v>
      </c>
      <c r="U185" s="1">
        <f t="shared" si="83"/>
        <v>378635.92</v>
      </c>
      <c r="V185" s="42">
        <v>378635.92</v>
      </c>
      <c r="W185" s="42">
        <v>0</v>
      </c>
      <c r="X185" s="1">
        <f t="shared" si="84"/>
        <v>58251.68</v>
      </c>
      <c r="Y185" s="30">
        <v>58251.68</v>
      </c>
      <c r="Z185" s="30">
        <v>0</v>
      </c>
      <c r="AA185" s="2">
        <f t="shared" si="85"/>
        <v>0</v>
      </c>
      <c r="AB185" s="30">
        <v>0</v>
      </c>
      <c r="AC185" s="30">
        <v>0</v>
      </c>
      <c r="AD185" s="16">
        <f t="shared" si="64"/>
        <v>2912584</v>
      </c>
      <c r="AE185" s="55">
        <v>0</v>
      </c>
      <c r="AF185" s="2">
        <f t="shared" si="86"/>
        <v>2912584</v>
      </c>
      <c r="AG185" s="38" t="s">
        <v>486</v>
      </c>
      <c r="AH185" s="29"/>
      <c r="AI185" s="30">
        <v>0</v>
      </c>
      <c r="AJ185" s="30">
        <v>0</v>
      </c>
    </row>
    <row r="186" spans="1:37" ht="173.25" x14ac:dyDescent="0.25">
      <c r="A186" s="6">
        <v>183</v>
      </c>
      <c r="B186" s="31">
        <v>154632</v>
      </c>
      <c r="C186" s="31">
        <v>1191</v>
      </c>
      <c r="D186" s="9" t="s">
        <v>1638</v>
      </c>
      <c r="E186" s="24" t="s">
        <v>2012</v>
      </c>
      <c r="F186" s="88" t="s">
        <v>2151</v>
      </c>
      <c r="G186" s="27" t="s">
        <v>1868</v>
      </c>
      <c r="H186" s="8" t="s">
        <v>151</v>
      </c>
      <c r="I186" s="32" t="s">
        <v>2699</v>
      </c>
      <c r="J186" s="25">
        <v>44670</v>
      </c>
      <c r="K186" s="25">
        <v>45157</v>
      </c>
      <c r="L186" s="26">
        <f t="shared" si="81"/>
        <v>85.00000008922602</v>
      </c>
      <c r="M186" s="11">
        <v>3</v>
      </c>
      <c r="N186" s="11" t="s">
        <v>189</v>
      </c>
      <c r="O186" s="11" t="s">
        <v>201</v>
      </c>
      <c r="P186" s="27" t="s">
        <v>174</v>
      </c>
      <c r="Q186" s="11" t="s">
        <v>34</v>
      </c>
      <c r="R186" s="2">
        <f t="shared" si="82"/>
        <v>3334229.46</v>
      </c>
      <c r="S186" s="30">
        <v>3334229.46</v>
      </c>
      <c r="T186" s="30">
        <v>0</v>
      </c>
      <c r="U186" s="1">
        <f t="shared" si="83"/>
        <v>509940.97</v>
      </c>
      <c r="V186" s="42">
        <v>509940.97</v>
      </c>
      <c r="W186" s="42">
        <v>0</v>
      </c>
      <c r="X186" s="1">
        <f t="shared" si="84"/>
        <v>78452.460000000006</v>
      </c>
      <c r="Y186" s="30">
        <v>78452.460000000006</v>
      </c>
      <c r="Z186" s="30">
        <v>0</v>
      </c>
      <c r="AA186" s="2">
        <f t="shared" si="85"/>
        <v>0</v>
      </c>
      <c r="AB186" s="30">
        <v>0</v>
      </c>
      <c r="AC186" s="30">
        <v>0</v>
      </c>
      <c r="AD186" s="16">
        <f t="shared" si="64"/>
        <v>3922622.8899999997</v>
      </c>
      <c r="AE186" s="55">
        <v>0</v>
      </c>
      <c r="AF186" s="2">
        <f t="shared" si="86"/>
        <v>3922622.8899999997</v>
      </c>
      <c r="AG186" s="38" t="s">
        <v>486</v>
      </c>
      <c r="AH186" s="29"/>
      <c r="AI186" s="30">
        <v>0</v>
      </c>
      <c r="AJ186" s="30">
        <v>0</v>
      </c>
    </row>
    <row r="187" spans="1:37" ht="283.5" x14ac:dyDescent="0.25">
      <c r="A187" s="6">
        <v>184</v>
      </c>
      <c r="B187" s="31">
        <v>154039</v>
      </c>
      <c r="C187" s="31">
        <v>1170</v>
      </c>
      <c r="D187" s="9" t="s">
        <v>1638</v>
      </c>
      <c r="E187" s="24" t="s">
        <v>2012</v>
      </c>
      <c r="F187" s="88" t="s">
        <v>2163</v>
      </c>
      <c r="G187" s="27" t="s">
        <v>705</v>
      </c>
      <c r="H187" s="8" t="s">
        <v>151</v>
      </c>
      <c r="I187" s="32" t="s">
        <v>2700</v>
      </c>
      <c r="J187" s="25">
        <v>44671</v>
      </c>
      <c r="K187" s="25">
        <v>45158</v>
      </c>
      <c r="L187" s="26">
        <f t="shared" si="81"/>
        <v>85.000000375576292</v>
      </c>
      <c r="M187" s="11">
        <v>3</v>
      </c>
      <c r="N187" s="11" t="s">
        <v>189</v>
      </c>
      <c r="O187" s="11" t="s">
        <v>708</v>
      </c>
      <c r="P187" s="27" t="s">
        <v>174</v>
      </c>
      <c r="Q187" s="11" t="s">
        <v>34</v>
      </c>
      <c r="R187" s="2">
        <f t="shared" si="82"/>
        <v>2489507.5</v>
      </c>
      <c r="S187" s="30">
        <v>2489507.5</v>
      </c>
      <c r="T187" s="30">
        <v>0</v>
      </c>
      <c r="U187" s="1">
        <f t="shared" si="83"/>
        <v>380748.18</v>
      </c>
      <c r="V187" s="42">
        <v>380748.18</v>
      </c>
      <c r="W187" s="42">
        <v>0</v>
      </c>
      <c r="X187" s="1">
        <f t="shared" si="84"/>
        <v>58576.66</v>
      </c>
      <c r="Y187" s="30">
        <v>58576.66</v>
      </c>
      <c r="Z187" s="30">
        <v>0</v>
      </c>
      <c r="AA187" s="2">
        <f t="shared" si="85"/>
        <v>0</v>
      </c>
      <c r="AB187" s="30">
        <v>0</v>
      </c>
      <c r="AC187" s="30">
        <v>0</v>
      </c>
      <c r="AD187" s="16">
        <f t="shared" si="64"/>
        <v>2928832.3400000003</v>
      </c>
      <c r="AE187" s="55">
        <v>0</v>
      </c>
      <c r="AF187" s="2">
        <f t="shared" si="86"/>
        <v>2928832.3400000003</v>
      </c>
      <c r="AG187" s="38" t="s">
        <v>486</v>
      </c>
      <c r="AH187" s="29"/>
      <c r="AI187" s="30">
        <v>292883.23</v>
      </c>
      <c r="AJ187" s="30">
        <v>0</v>
      </c>
    </row>
    <row r="188" spans="1:37" ht="173.25" x14ac:dyDescent="0.25">
      <c r="A188" s="6">
        <v>185</v>
      </c>
      <c r="B188" s="31">
        <v>120693</v>
      </c>
      <c r="C188" s="11">
        <v>114</v>
      </c>
      <c r="D188" s="9" t="s">
        <v>1638</v>
      </c>
      <c r="E188" s="24" t="s">
        <v>277</v>
      </c>
      <c r="F188" s="27" t="s">
        <v>206</v>
      </c>
      <c r="G188" s="11" t="s">
        <v>207</v>
      </c>
      <c r="H188" s="8" t="s">
        <v>151</v>
      </c>
      <c r="I188" s="12" t="s">
        <v>208</v>
      </c>
      <c r="J188" s="25">
        <v>43145</v>
      </c>
      <c r="K188" s="25">
        <v>43630</v>
      </c>
      <c r="L188" s="26">
        <f t="shared" ref="L188:L198" si="87">R188/AD188*100</f>
        <v>85.000000594539443</v>
      </c>
      <c r="M188" s="11">
        <v>4</v>
      </c>
      <c r="N188" s="11" t="s">
        <v>219</v>
      </c>
      <c r="O188" s="11" t="s">
        <v>209</v>
      </c>
      <c r="P188" s="27" t="s">
        <v>174</v>
      </c>
      <c r="Q188" s="11" t="s">
        <v>34</v>
      </c>
      <c r="R188" s="2">
        <f t="shared" ref="R188:R198" si="88">S188+T188</f>
        <v>357419.52000000002</v>
      </c>
      <c r="S188" s="2">
        <v>357419.52000000002</v>
      </c>
      <c r="T188" s="30">
        <v>0</v>
      </c>
      <c r="U188" s="1">
        <f t="shared" si="83"/>
        <v>54664.160000000003</v>
      </c>
      <c r="V188" s="87">
        <v>54664.160000000003</v>
      </c>
      <c r="W188" s="42">
        <v>0</v>
      </c>
      <c r="X188" s="1">
        <f t="shared" si="84"/>
        <v>8409.8700000000008</v>
      </c>
      <c r="Y188" s="57">
        <v>8409.8700000000008</v>
      </c>
      <c r="Z188" s="89">
        <v>0</v>
      </c>
      <c r="AA188" s="2">
        <f>AB188+AC188</f>
        <v>0</v>
      </c>
      <c r="AB188" s="2">
        <v>0</v>
      </c>
      <c r="AC188" s="2">
        <v>0</v>
      </c>
      <c r="AD188" s="16">
        <f t="shared" si="64"/>
        <v>420493.55000000005</v>
      </c>
      <c r="AE188" s="2">
        <v>0</v>
      </c>
      <c r="AF188" s="2">
        <f t="shared" ref="AF188:AF198" si="89">AD188+AE188</f>
        <v>420493.55000000005</v>
      </c>
      <c r="AG188" s="21" t="s">
        <v>857</v>
      </c>
      <c r="AH188" s="29" t="s">
        <v>151</v>
      </c>
      <c r="AI188" s="30">
        <v>278082.99</v>
      </c>
      <c r="AJ188" s="30">
        <v>42530.380000000005</v>
      </c>
      <c r="AK188" s="43"/>
    </row>
    <row r="189" spans="1:37" ht="173.25" customHeight="1" x14ac:dyDescent="0.25">
      <c r="A189" s="6">
        <v>186</v>
      </c>
      <c r="B189" s="11">
        <v>119288</v>
      </c>
      <c r="C189" s="11">
        <v>487</v>
      </c>
      <c r="D189" s="9" t="s">
        <v>1638</v>
      </c>
      <c r="E189" s="11" t="s">
        <v>457</v>
      </c>
      <c r="F189" s="27" t="s">
        <v>1358</v>
      </c>
      <c r="G189" s="11" t="s">
        <v>914</v>
      </c>
      <c r="H189" s="8" t="s">
        <v>151</v>
      </c>
      <c r="I189" s="90" t="s">
        <v>535</v>
      </c>
      <c r="J189" s="25">
        <v>43272</v>
      </c>
      <c r="K189" s="25">
        <v>43667</v>
      </c>
      <c r="L189" s="26">
        <f t="shared" si="87"/>
        <v>85</v>
      </c>
      <c r="M189" s="11">
        <v>4</v>
      </c>
      <c r="N189" s="11" t="s">
        <v>219</v>
      </c>
      <c r="O189" s="11" t="s">
        <v>357</v>
      </c>
      <c r="P189" s="27" t="s">
        <v>174</v>
      </c>
      <c r="Q189" s="11" t="s">
        <v>34</v>
      </c>
      <c r="R189" s="2">
        <f t="shared" si="88"/>
        <v>360400</v>
      </c>
      <c r="S189" s="30">
        <v>360400</v>
      </c>
      <c r="T189" s="30">
        <v>0</v>
      </c>
      <c r="U189" s="1">
        <f t="shared" si="83"/>
        <v>55120</v>
      </c>
      <c r="V189" s="28">
        <v>55120</v>
      </c>
      <c r="W189" s="77">
        <v>0</v>
      </c>
      <c r="X189" s="1">
        <f t="shared" si="84"/>
        <v>8480</v>
      </c>
      <c r="Y189" s="27">
        <v>8480</v>
      </c>
      <c r="Z189" s="30">
        <v>0</v>
      </c>
      <c r="AA189" s="2">
        <f>AB189+AC189</f>
        <v>0</v>
      </c>
      <c r="AB189" s="27">
        <v>0</v>
      </c>
      <c r="AC189" s="27">
        <v>0</v>
      </c>
      <c r="AD189" s="16">
        <f t="shared" si="64"/>
        <v>424000</v>
      </c>
      <c r="AE189" s="35"/>
      <c r="AF189" s="2">
        <f t="shared" si="89"/>
        <v>424000</v>
      </c>
      <c r="AG189" s="21" t="s">
        <v>857</v>
      </c>
      <c r="AH189" s="29" t="s">
        <v>1061</v>
      </c>
      <c r="AI189" s="2">
        <v>305948.81</v>
      </c>
      <c r="AJ189" s="2">
        <v>46792.149999999994</v>
      </c>
    </row>
    <row r="190" spans="1:37" ht="299.25" x14ac:dyDescent="0.25">
      <c r="A190" s="6">
        <v>187</v>
      </c>
      <c r="B190" s="83">
        <v>118780</v>
      </c>
      <c r="C190" s="91">
        <v>443</v>
      </c>
      <c r="D190" s="32" t="s">
        <v>1639</v>
      </c>
      <c r="E190" s="92" t="s">
        <v>507</v>
      </c>
      <c r="F190" s="70" t="s">
        <v>692</v>
      </c>
      <c r="G190" s="91" t="s">
        <v>207</v>
      </c>
      <c r="H190" s="11" t="s">
        <v>693</v>
      </c>
      <c r="I190" s="32" t="s">
        <v>694</v>
      </c>
      <c r="J190" s="25">
        <v>43312</v>
      </c>
      <c r="K190" s="25">
        <v>43677</v>
      </c>
      <c r="L190" s="26">
        <f t="shared" si="87"/>
        <v>84.150233941460755</v>
      </c>
      <c r="M190" s="11">
        <v>4</v>
      </c>
      <c r="N190" s="11" t="s">
        <v>499</v>
      </c>
      <c r="O190" s="11" t="s">
        <v>695</v>
      </c>
      <c r="P190" s="27" t="s">
        <v>174</v>
      </c>
      <c r="Q190" s="11" t="s">
        <v>34</v>
      </c>
      <c r="R190" s="2">
        <f t="shared" si="88"/>
        <v>230233.66</v>
      </c>
      <c r="S190" s="30">
        <v>230233.66</v>
      </c>
      <c r="T190" s="30">
        <v>0</v>
      </c>
      <c r="U190" s="1">
        <f t="shared" si="83"/>
        <v>37892.730000000003</v>
      </c>
      <c r="V190" s="42">
        <v>37892.730000000003</v>
      </c>
      <c r="W190" s="42">
        <v>0</v>
      </c>
      <c r="X190" s="1">
        <f t="shared" si="84"/>
        <v>2736.73</v>
      </c>
      <c r="Y190" s="30">
        <v>2736.73</v>
      </c>
      <c r="Z190" s="30">
        <v>0</v>
      </c>
      <c r="AA190" s="2">
        <f>AB190+AC190</f>
        <v>2735.24</v>
      </c>
      <c r="AB190" s="30">
        <v>2735.24</v>
      </c>
      <c r="AC190" s="41">
        <v>0</v>
      </c>
      <c r="AD190" s="16">
        <f t="shared" si="64"/>
        <v>273598.36</v>
      </c>
      <c r="AE190" s="38">
        <v>0</v>
      </c>
      <c r="AF190" s="2">
        <f t="shared" si="89"/>
        <v>273598.36</v>
      </c>
      <c r="AG190" s="21" t="s">
        <v>857</v>
      </c>
      <c r="AH190" s="29" t="s">
        <v>151</v>
      </c>
      <c r="AI190" s="30">
        <v>165046.26</v>
      </c>
      <c r="AJ190" s="30">
        <v>27286.14</v>
      </c>
    </row>
    <row r="191" spans="1:37" ht="393.75" x14ac:dyDescent="0.25">
      <c r="A191" s="6">
        <v>188</v>
      </c>
      <c r="B191" s="31">
        <v>119830</v>
      </c>
      <c r="C191" s="11">
        <v>474</v>
      </c>
      <c r="D191" s="9" t="s">
        <v>1638</v>
      </c>
      <c r="E191" s="11" t="s">
        <v>457</v>
      </c>
      <c r="F191" s="27" t="s">
        <v>743</v>
      </c>
      <c r="G191" s="11" t="s">
        <v>744</v>
      </c>
      <c r="H191" s="8" t="s">
        <v>151</v>
      </c>
      <c r="I191" s="32" t="s">
        <v>745</v>
      </c>
      <c r="J191" s="25">
        <v>43322</v>
      </c>
      <c r="K191" s="25">
        <v>43992</v>
      </c>
      <c r="L191" s="26">
        <f t="shared" si="87"/>
        <v>84.999997553055863</v>
      </c>
      <c r="M191" s="11">
        <v>4</v>
      </c>
      <c r="N191" s="11" t="s">
        <v>499</v>
      </c>
      <c r="O191" s="11" t="s">
        <v>746</v>
      </c>
      <c r="P191" s="27" t="s">
        <v>174</v>
      </c>
      <c r="Q191" s="11" t="s">
        <v>34</v>
      </c>
      <c r="R191" s="2">
        <f t="shared" si="88"/>
        <v>347372.04</v>
      </c>
      <c r="S191" s="30">
        <v>347372.04</v>
      </c>
      <c r="T191" s="30">
        <v>0</v>
      </c>
      <c r="U191" s="1">
        <f t="shared" si="83"/>
        <v>53127.519999999997</v>
      </c>
      <c r="V191" s="42">
        <v>53127.519999999997</v>
      </c>
      <c r="W191" s="42">
        <v>0</v>
      </c>
      <c r="X191" s="1">
        <f t="shared" si="84"/>
        <v>8173.4400000000005</v>
      </c>
      <c r="Y191" s="30">
        <v>8173.4400000000005</v>
      </c>
      <c r="Z191" s="30">
        <v>0</v>
      </c>
      <c r="AA191" s="2">
        <f>AB191+AC191</f>
        <v>0</v>
      </c>
      <c r="AB191" s="57">
        <v>0</v>
      </c>
      <c r="AC191" s="57">
        <v>0</v>
      </c>
      <c r="AD191" s="16">
        <f t="shared" si="64"/>
        <v>408673</v>
      </c>
      <c r="AE191" s="2">
        <v>0</v>
      </c>
      <c r="AF191" s="2">
        <f t="shared" si="89"/>
        <v>408673</v>
      </c>
      <c r="AG191" s="38" t="s">
        <v>857</v>
      </c>
      <c r="AH191" s="29" t="s">
        <v>861</v>
      </c>
      <c r="AI191" s="30">
        <v>312673.95</v>
      </c>
      <c r="AJ191" s="30">
        <v>47820.720000000008</v>
      </c>
    </row>
    <row r="192" spans="1:37" ht="163.5" customHeight="1" x14ac:dyDescent="0.25">
      <c r="A192" s="6">
        <v>189</v>
      </c>
      <c r="B192" s="31">
        <v>118793</v>
      </c>
      <c r="C192" s="11">
        <v>446</v>
      </c>
      <c r="D192" s="32" t="s">
        <v>1639</v>
      </c>
      <c r="E192" s="11" t="s">
        <v>507</v>
      </c>
      <c r="F192" s="11" t="s">
        <v>747</v>
      </c>
      <c r="G192" s="11" t="s">
        <v>744</v>
      </c>
      <c r="H192" s="11"/>
      <c r="I192" s="33" t="s">
        <v>748</v>
      </c>
      <c r="J192" s="25">
        <v>43322</v>
      </c>
      <c r="K192" s="25">
        <v>43779</v>
      </c>
      <c r="L192" s="26">
        <f t="shared" si="87"/>
        <v>85.000000000000014</v>
      </c>
      <c r="M192" s="11">
        <v>4</v>
      </c>
      <c r="N192" s="11" t="s">
        <v>499</v>
      </c>
      <c r="O192" s="11" t="s">
        <v>746</v>
      </c>
      <c r="P192" s="11" t="s">
        <v>174</v>
      </c>
      <c r="Q192" s="11" t="s">
        <v>34</v>
      </c>
      <c r="R192" s="2">
        <f t="shared" si="88"/>
        <v>239897.2</v>
      </c>
      <c r="S192" s="93">
        <v>239897.2</v>
      </c>
      <c r="T192" s="41">
        <v>0</v>
      </c>
      <c r="U192" s="1">
        <f t="shared" si="83"/>
        <v>36690.160000000003</v>
      </c>
      <c r="V192" s="42">
        <v>36690.160000000003</v>
      </c>
      <c r="W192" s="42">
        <v>0</v>
      </c>
      <c r="X192" s="1">
        <f t="shared" si="84"/>
        <v>5644.6399999999994</v>
      </c>
      <c r="Y192" s="30">
        <v>5644.6399999999994</v>
      </c>
      <c r="Z192" s="30">
        <v>0</v>
      </c>
      <c r="AA192" s="2">
        <f>AB192+AC192</f>
        <v>0</v>
      </c>
      <c r="AB192" s="2">
        <v>0</v>
      </c>
      <c r="AC192" s="2">
        <v>0</v>
      </c>
      <c r="AD192" s="16">
        <f t="shared" si="64"/>
        <v>282232</v>
      </c>
      <c r="AE192" s="38"/>
      <c r="AF192" s="2">
        <f t="shared" si="89"/>
        <v>282232</v>
      </c>
      <c r="AG192" s="21" t="s">
        <v>857</v>
      </c>
      <c r="AH192" s="38" t="s">
        <v>1215</v>
      </c>
      <c r="AI192" s="30">
        <v>214650.99</v>
      </c>
      <c r="AJ192" s="30">
        <v>32828.959999999999</v>
      </c>
    </row>
    <row r="193" spans="1:36" s="183" customFormat="1" ht="178.5" customHeight="1" x14ac:dyDescent="0.25">
      <c r="A193" s="6">
        <v>190</v>
      </c>
      <c r="B193" s="31">
        <v>126292</v>
      </c>
      <c r="C193" s="94">
        <v>514</v>
      </c>
      <c r="D193" s="9" t="s">
        <v>1638</v>
      </c>
      <c r="E193" s="95" t="s">
        <v>899</v>
      </c>
      <c r="F193" s="95" t="s">
        <v>913</v>
      </c>
      <c r="G193" s="95" t="s">
        <v>914</v>
      </c>
      <c r="H193" s="8" t="s">
        <v>151</v>
      </c>
      <c r="I193" s="96" t="s">
        <v>2701</v>
      </c>
      <c r="J193" s="25">
        <v>43439</v>
      </c>
      <c r="K193" s="25">
        <v>44535</v>
      </c>
      <c r="L193" s="26">
        <f t="shared" si="87"/>
        <v>84.999999598958027</v>
      </c>
      <c r="M193" s="94">
        <v>4</v>
      </c>
      <c r="N193" s="95" t="s">
        <v>499</v>
      </c>
      <c r="O193" s="95" t="s">
        <v>357</v>
      </c>
      <c r="P193" s="95" t="s">
        <v>174</v>
      </c>
      <c r="Q193" s="11" t="s">
        <v>34</v>
      </c>
      <c r="R193" s="2">
        <f t="shared" si="88"/>
        <v>2331426.79</v>
      </c>
      <c r="S193" s="30">
        <v>2331426.79</v>
      </c>
      <c r="T193" s="30">
        <v>0</v>
      </c>
      <c r="U193" s="1">
        <f t="shared" si="83"/>
        <v>356571.17</v>
      </c>
      <c r="V193" s="42">
        <v>356571.17</v>
      </c>
      <c r="W193" s="42">
        <v>0</v>
      </c>
      <c r="X193" s="1">
        <f t="shared" si="84"/>
        <v>54857.1</v>
      </c>
      <c r="Y193" s="30">
        <v>54857.1</v>
      </c>
      <c r="Z193" s="30">
        <v>0</v>
      </c>
      <c r="AA193" s="1">
        <v>0</v>
      </c>
      <c r="AB193" s="30">
        <v>0</v>
      </c>
      <c r="AC193" s="30">
        <v>0</v>
      </c>
      <c r="AD193" s="16">
        <f t="shared" si="64"/>
        <v>2742855.06</v>
      </c>
      <c r="AE193" s="30"/>
      <c r="AF193" s="2">
        <f t="shared" si="89"/>
        <v>2742855.06</v>
      </c>
      <c r="AG193" s="38" t="s">
        <v>857</v>
      </c>
      <c r="AH193" s="30" t="s">
        <v>1798</v>
      </c>
      <c r="AI193" s="30">
        <f>142930.13+1325877.08</f>
        <v>1468807.21</v>
      </c>
      <c r="AJ193" s="30">
        <f>21859.91+202781.2</f>
        <v>224641.11000000002</v>
      </c>
    </row>
    <row r="194" spans="1:36" s="186" customFormat="1" ht="187.5" customHeight="1" x14ac:dyDescent="0.25">
      <c r="A194" s="6">
        <v>191</v>
      </c>
      <c r="B194" s="31">
        <v>126320</v>
      </c>
      <c r="C194" s="94">
        <v>515</v>
      </c>
      <c r="D194" s="9" t="s">
        <v>1638</v>
      </c>
      <c r="E194" s="95" t="s">
        <v>899</v>
      </c>
      <c r="F194" s="70" t="s">
        <v>1894</v>
      </c>
      <c r="G194" s="91" t="s">
        <v>207</v>
      </c>
      <c r="H194" s="95" t="s">
        <v>999</v>
      </c>
      <c r="I194" s="97" t="s">
        <v>2702</v>
      </c>
      <c r="J194" s="25">
        <v>43531</v>
      </c>
      <c r="K194" s="25">
        <v>45084</v>
      </c>
      <c r="L194" s="26">
        <f t="shared" si="87"/>
        <v>84.263733041248912</v>
      </c>
      <c r="M194" s="94">
        <v>4</v>
      </c>
      <c r="N194" s="95" t="s">
        <v>499</v>
      </c>
      <c r="O194" s="95" t="s">
        <v>695</v>
      </c>
      <c r="P194" s="95" t="s">
        <v>174</v>
      </c>
      <c r="Q194" s="11" t="s">
        <v>34</v>
      </c>
      <c r="R194" s="48">
        <f t="shared" si="88"/>
        <v>2765436.54</v>
      </c>
      <c r="S194" s="95">
        <v>2765436.54</v>
      </c>
      <c r="T194" s="95">
        <v>0</v>
      </c>
      <c r="U194" s="1">
        <f t="shared" si="83"/>
        <v>450808.12</v>
      </c>
      <c r="V194" s="98">
        <v>450808.12</v>
      </c>
      <c r="W194" s="98">
        <v>0</v>
      </c>
      <c r="X194" s="1">
        <f t="shared" si="84"/>
        <v>28427.56</v>
      </c>
      <c r="Y194" s="95">
        <v>28427.56</v>
      </c>
      <c r="Z194" s="95">
        <v>0</v>
      </c>
      <c r="AA194" s="48">
        <f>AB194+AC194</f>
        <v>37210.080000000002</v>
      </c>
      <c r="AB194" s="95">
        <v>37210.080000000002</v>
      </c>
      <c r="AC194" s="95">
        <v>0</v>
      </c>
      <c r="AD194" s="16">
        <f t="shared" si="64"/>
        <v>3281882.3000000003</v>
      </c>
      <c r="AE194" s="95">
        <v>0</v>
      </c>
      <c r="AF194" s="48">
        <f t="shared" si="89"/>
        <v>3281882.3000000003</v>
      </c>
      <c r="AG194" s="38" t="s">
        <v>486</v>
      </c>
      <c r="AH194" s="95" t="s">
        <v>3262</v>
      </c>
      <c r="AI194" s="30">
        <f>266429.76+125991.5+33676.15-20905.43+606230.28+101177.18+100380.38+37774.85-14429.71+110480.4+11699.5-8212.55-8847.71</f>
        <v>1341444.5999999999</v>
      </c>
      <c r="AJ194" s="30">
        <f>29705.22+12037.96+5150.47+20905.43+82411.3+18822.82+19619.62+5777.33+14429.71+15547.32+8212.55</f>
        <v>232619.72999999998</v>
      </c>
    </row>
    <row r="195" spans="1:36" s="183" customFormat="1" ht="178.5" customHeight="1" x14ac:dyDescent="0.25">
      <c r="A195" s="6">
        <v>192</v>
      </c>
      <c r="B195" s="31">
        <v>128004</v>
      </c>
      <c r="C195" s="94">
        <v>635</v>
      </c>
      <c r="D195" s="9" t="s">
        <v>1638</v>
      </c>
      <c r="E195" s="82" t="s">
        <v>1071</v>
      </c>
      <c r="F195" s="95" t="s">
        <v>1085</v>
      </c>
      <c r="G195" s="95" t="s">
        <v>1084</v>
      </c>
      <c r="H195" s="8" t="s">
        <v>151</v>
      </c>
      <c r="I195" s="96" t="s">
        <v>2703</v>
      </c>
      <c r="J195" s="25">
        <v>43620</v>
      </c>
      <c r="K195" s="25">
        <v>44930</v>
      </c>
      <c r="L195" s="26">
        <f t="shared" si="87"/>
        <v>85</v>
      </c>
      <c r="M195" s="94">
        <v>4</v>
      </c>
      <c r="N195" s="95" t="s">
        <v>499</v>
      </c>
      <c r="O195" s="95" t="s">
        <v>357</v>
      </c>
      <c r="P195" s="95" t="s">
        <v>174</v>
      </c>
      <c r="Q195" s="95" t="s">
        <v>34</v>
      </c>
      <c r="R195" s="2">
        <f t="shared" si="88"/>
        <v>1919118.95</v>
      </c>
      <c r="S195" s="30">
        <v>1919118.95</v>
      </c>
      <c r="T195" s="30">
        <v>0</v>
      </c>
      <c r="U195" s="1">
        <f t="shared" si="83"/>
        <v>293512.31</v>
      </c>
      <c r="V195" s="42">
        <v>293512.31</v>
      </c>
      <c r="W195" s="42">
        <v>0</v>
      </c>
      <c r="X195" s="1">
        <f t="shared" si="84"/>
        <v>45155.74</v>
      </c>
      <c r="Y195" s="30">
        <v>45155.74</v>
      </c>
      <c r="Z195" s="30">
        <v>0</v>
      </c>
      <c r="AA195" s="1">
        <v>0</v>
      </c>
      <c r="AB195" s="30">
        <v>0</v>
      </c>
      <c r="AC195" s="30">
        <v>0</v>
      </c>
      <c r="AD195" s="16">
        <f t="shared" si="64"/>
        <v>2257787</v>
      </c>
      <c r="AE195" s="30">
        <v>0</v>
      </c>
      <c r="AF195" s="2">
        <f t="shared" si="89"/>
        <v>2257787</v>
      </c>
      <c r="AG195" s="38" t="s">
        <v>486</v>
      </c>
      <c r="AH195" s="30" t="s">
        <v>3317</v>
      </c>
      <c r="AI195" s="30">
        <f>23213.93+189613.77+187190.71+443888.02+562209.42</f>
        <v>1406115.85</v>
      </c>
      <c r="AJ195" s="30">
        <f>3550.36+28999.75+28629.19+67888.75+85984.96</f>
        <v>215053.01</v>
      </c>
    </row>
    <row r="196" spans="1:36" s="183" customFormat="1" ht="178.5" customHeight="1" x14ac:dyDescent="0.25">
      <c r="A196" s="6">
        <v>193</v>
      </c>
      <c r="B196" s="99" t="s">
        <v>1978</v>
      </c>
      <c r="C196" s="94">
        <v>501</v>
      </c>
      <c r="D196" s="97" t="s">
        <v>1640</v>
      </c>
      <c r="E196" s="82" t="s">
        <v>983</v>
      </c>
      <c r="F196" s="100" t="s">
        <v>1096</v>
      </c>
      <c r="G196" s="95" t="s">
        <v>693</v>
      </c>
      <c r="H196" s="95" t="s">
        <v>246</v>
      </c>
      <c r="I196" s="96" t="s">
        <v>2704</v>
      </c>
      <c r="J196" s="25">
        <v>43626</v>
      </c>
      <c r="K196" s="25">
        <v>44602</v>
      </c>
      <c r="L196" s="26">
        <f t="shared" si="87"/>
        <v>83.560067781888534</v>
      </c>
      <c r="M196" s="94">
        <v>4</v>
      </c>
      <c r="N196" s="95" t="s">
        <v>499</v>
      </c>
      <c r="O196" s="95" t="s">
        <v>357</v>
      </c>
      <c r="P196" s="95" t="s">
        <v>274</v>
      </c>
      <c r="Q196" s="95" t="s">
        <v>34</v>
      </c>
      <c r="R196" s="2">
        <f t="shared" si="88"/>
        <v>1824019.35</v>
      </c>
      <c r="S196" s="30">
        <v>1824019.35</v>
      </c>
      <c r="T196" s="30">
        <v>0</v>
      </c>
      <c r="U196" s="1">
        <f t="shared" si="83"/>
        <v>315206.96999999997</v>
      </c>
      <c r="V196" s="42">
        <v>315206.96999999997</v>
      </c>
      <c r="W196" s="42">
        <v>0</v>
      </c>
      <c r="X196" s="1">
        <f t="shared" si="84"/>
        <v>6678.79</v>
      </c>
      <c r="Y196" s="30">
        <v>6678.79</v>
      </c>
      <c r="Z196" s="30">
        <v>0</v>
      </c>
      <c r="AA196" s="1">
        <f>AB196+AC196</f>
        <v>36978.89</v>
      </c>
      <c r="AB196" s="30">
        <v>36978.89</v>
      </c>
      <c r="AC196" s="30">
        <v>0</v>
      </c>
      <c r="AD196" s="16">
        <f t="shared" si="64"/>
        <v>2182884.0000000005</v>
      </c>
      <c r="AE196" s="30">
        <v>0</v>
      </c>
      <c r="AF196" s="2">
        <f t="shared" si="89"/>
        <v>2182884.0000000005</v>
      </c>
      <c r="AG196" s="38" t="s">
        <v>857</v>
      </c>
      <c r="AH196" s="30" t="s">
        <v>1672</v>
      </c>
      <c r="AI196" s="30">
        <f>198612.8-11848.59-516.96+238980.14+9798.05+33393-1619.29+301235.86+216667.51+34050.15-3724.37+203466.18+228657.26-2738.45-25092.69-25882.59</f>
        <v>1393438.01</v>
      </c>
      <c r="AJ196" s="30">
        <f>19674.2+11848.59+3814.49+6605.69+90184.69+5207.67+3724.37+68238.88+2407.47+2738.45+25882.59</f>
        <v>240327.09000000003</v>
      </c>
    </row>
    <row r="197" spans="1:36" s="183" customFormat="1" ht="178.5" customHeight="1" x14ac:dyDescent="0.25">
      <c r="A197" s="6">
        <v>194</v>
      </c>
      <c r="B197" s="99" t="s">
        <v>1522</v>
      </c>
      <c r="C197" s="94">
        <v>832</v>
      </c>
      <c r="D197" s="9" t="s">
        <v>1638</v>
      </c>
      <c r="E197" s="24" t="s">
        <v>1441</v>
      </c>
      <c r="F197" s="11" t="s">
        <v>1523</v>
      </c>
      <c r="G197" s="95" t="s">
        <v>1913</v>
      </c>
      <c r="H197" s="8" t="s">
        <v>151</v>
      </c>
      <c r="I197" s="12" t="s">
        <v>1524</v>
      </c>
      <c r="J197" s="25">
        <v>43998</v>
      </c>
      <c r="K197" s="25">
        <v>44850</v>
      </c>
      <c r="L197" s="26">
        <f t="shared" si="87"/>
        <v>85.000000651832096</v>
      </c>
      <c r="M197" s="94">
        <v>4</v>
      </c>
      <c r="N197" s="95" t="s">
        <v>499</v>
      </c>
      <c r="O197" s="95" t="s">
        <v>357</v>
      </c>
      <c r="P197" s="95" t="s">
        <v>174</v>
      </c>
      <c r="Q197" s="11" t="s">
        <v>34</v>
      </c>
      <c r="R197" s="2">
        <f t="shared" si="88"/>
        <v>1434418.48</v>
      </c>
      <c r="S197" s="2">
        <v>1434418.48</v>
      </c>
      <c r="T197" s="2">
        <v>0</v>
      </c>
      <c r="U197" s="1">
        <f t="shared" si="83"/>
        <v>219381.63</v>
      </c>
      <c r="V197" s="28">
        <v>219381.63</v>
      </c>
      <c r="W197" s="28">
        <v>0</v>
      </c>
      <c r="X197" s="1">
        <f t="shared" si="84"/>
        <v>33751.03</v>
      </c>
      <c r="Y197" s="2">
        <v>33751.03</v>
      </c>
      <c r="Z197" s="2">
        <v>0</v>
      </c>
      <c r="AA197" s="1">
        <f>AB197+AC197</f>
        <v>0</v>
      </c>
      <c r="AB197" s="30">
        <v>0</v>
      </c>
      <c r="AC197" s="30">
        <v>0</v>
      </c>
      <c r="AD197" s="16">
        <f t="shared" ref="AD197:AD260" si="90">R197+U197+X197+AA197</f>
        <v>1687551.14</v>
      </c>
      <c r="AE197" s="30">
        <v>0</v>
      </c>
      <c r="AF197" s="2">
        <f t="shared" si="89"/>
        <v>1687551.14</v>
      </c>
      <c r="AG197" s="38" t="s">
        <v>857</v>
      </c>
      <c r="AH197" s="30" t="s">
        <v>2251</v>
      </c>
      <c r="AI197" s="30">
        <f>1658.86+13028.12+27092.02+136350.2+85151.87</f>
        <v>263281.07</v>
      </c>
      <c r="AJ197" s="30">
        <f>253.71+1992.53+4143.48+20853.56+13023.22</f>
        <v>40266.5</v>
      </c>
    </row>
    <row r="198" spans="1:36" s="183" customFormat="1" ht="178.5" customHeight="1" x14ac:dyDescent="0.25">
      <c r="A198" s="6">
        <v>195</v>
      </c>
      <c r="B198" s="99" t="s">
        <v>2152</v>
      </c>
      <c r="C198" s="101">
        <v>1229</v>
      </c>
      <c r="D198" s="9" t="s">
        <v>1638</v>
      </c>
      <c r="E198" s="24" t="s">
        <v>2012</v>
      </c>
      <c r="F198" s="86" t="s">
        <v>2153</v>
      </c>
      <c r="G198" s="95" t="s">
        <v>744</v>
      </c>
      <c r="H198" s="8" t="s">
        <v>151</v>
      </c>
      <c r="I198" s="12" t="s">
        <v>2154</v>
      </c>
      <c r="J198" s="25">
        <v>44670</v>
      </c>
      <c r="K198" s="25">
        <v>45157</v>
      </c>
      <c r="L198" s="26">
        <f t="shared" si="87"/>
        <v>85.000000213737465</v>
      </c>
      <c r="M198" s="94">
        <v>4</v>
      </c>
      <c r="N198" s="95" t="s">
        <v>499</v>
      </c>
      <c r="O198" s="95" t="s">
        <v>2155</v>
      </c>
      <c r="P198" s="95" t="s">
        <v>174</v>
      </c>
      <c r="Q198" s="11" t="s">
        <v>34</v>
      </c>
      <c r="R198" s="2">
        <f t="shared" si="88"/>
        <v>2783788.92</v>
      </c>
      <c r="S198" s="2">
        <v>2783788.92</v>
      </c>
      <c r="T198" s="2">
        <v>0</v>
      </c>
      <c r="U198" s="1">
        <f t="shared" si="83"/>
        <v>425755.94</v>
      </c>
      <c r="V198" s="28">
        <v>425755.94</v>
      </c>
      <c r="W198" s="28">
        <v>0</v>
      </c>
      <c r="X198" s="1">
        <f t="shared" si="84"/>
        <v>65500.92</v>
      </c>
      <c r="Y198" s="2">
        <v>65500.92</v>
      </c>
      <c r="Z198" s="2">
        <v>0</v>
      </c>
      <c r="AA198" s="1">
        <f>AB198+AC198</f>
        <v>0</v>
      </c>
      <c r="AB198" s="30">
        <v>0</v>
      </c>
      <c r="AC198" s="30">
        <v>0</v>
      </c>
      <c r="AD198" s="16">
        <f t="shared" si="90"/>
        <v>3275045.78</v>
      </c>
      <c r="AE198" s="30">
        <v>0</v>
      </c>
      <c r="AF198" s="2">
        <f t="shared" si="89"/>
        <v>3275045.78</v>
      </c>
      <c r="AG198" s="38" t="s">
        <v>486</v>
      </c>
      <c r="AH198" s="51" t="s">
        <v>294</v>
      </c>
      <c r="AI198" s="30">
        <v>302830</v>
      </c>
      <c r="AJ198" s="30">
        <v>0</v>
      </c>
    </row>
    <row r="199" spans="1:36" ht="252" x14ac:dyDescent="0.25">
      <c r="A199" s="6">
        <v>196</v>
      </c>
      <c r="B199" s="31">
        <v>120590</v>
      </c>
      <c r="C199" s="11">
        <v>69</v>
      </c>
      <c r="D199" s="9" t="s">
        <v>1638</v>
      </c>
      <c r="E199" s="24" t="s">
        <v>277</v>
      </c>
      <c r="F199" s="11" t="s">
        <v>175</v>
      </c>
      <c r="G199" s="11" t="s">
        <v>784</v>
      </c>
      <c r="H199" s="8" t="s">
        <v>151</v>
      </c>
      <c r="I199" s="46" t="s">
        <v>179</v>
      </c>
      <c r="J199" s="25">
        <v>43129</v>
      </c>
      <c r="K199" s="25">
        <v>43553</v>
      </c>
      <c r="L199" s="26">
        <f t="shared" ref="L199:L207" si="91">R199/AD199*100</f>
        <v>85</v>
      </c>
      <c r="M199" s="11">
        <v>2</v>
      </c>
      <c r="N199" s="11" t="s">
        <v>186</v>
      </c>
      <c r="O199" s="11" t="s">
        <v>184</v>
      </c>
      <c r="P199" s="27" t="s">
        <v>174</v>
      </c>
      <c r="Q199" s="11" t="s">
        <v>34</v>
      </c>
      <c r="R199" s="2">
        <f t="shared" ref="R199:R207" si="92">S199+T199</f>
        <v>312939.57</v>
      </c>
      <c r="S199" s="2">
        <v>312939.57</v>
      </c>
      <c r="T199" s="2">
        <v>0</v>
      </c>
      <c r="U199" s="1">
        <f t="shared" ref="U199:U207" si="93">V199+W199</f>
        <v>47861.35</v>
      </c>
      <c r="V199" s="28">
        <v>47861.35</v>
      </c>
      <c r="W199" s="28">
        <v>0</v>
      </c>
      <c r="X199" s="1">
        <f t="shared" ref="X199:X207" si="94">Y199+Z199</f>
        <v>7363.28</v>
      </c>
      <c r="Y199" s="2">
        <v>7363.28</v>
      </c>
      <c r="Z199" s="2">
        <v>0</v>
      </c>
      <c r="AA199" s="2">
        <f t="shared" ref="AA199:AA207" si="95">AB199+AC199</f>
        <v>0</v>
      </c>
      <c r="AB199" s="2">
        <v>0</v>
      </c>
      <c r="AC199" s="2">
        <v>0</v>
      </c>
      <c r="AD199" s="16">
        <f t="shared" si="90"/>
        <v>368164.2</v>
      </c>
      <c r="AE199" s="2">
        <v>0</v>
      </c>
      <c r="AF199" s="2">
        <f t="shared" ref="AF199:AF207" si="96">AD199+AE199</f>
        <v>368164.2</v>
      </c>
      <c r="AG199" s="21" t="s">
        <v>857</v>
      </c>
      <c r="AH199" s="29" t="s">
        <v>151</v>
      </c>
      <c r="AI199" s="30">
        <v>269997.55</v>
      </c>
      <c r="AJ199" s="30">
        <v>41293.74</v>
      </c>
    </row>
    <row r="200" spans="1:36" ht="409.5" x14ac:dyDescent="0.25">
      <c r="A200" s="6">
        <v>197</v>
      </c>
      <c r="B200" s="31">
        <v>118013</v>
      </c>
      <c r="C200" s="11">
        <v>419</v>
      </c>
      <c r="D200" s="32" t="s">
        <v>1639</v>
      </c>
      <c r="E200" s="11" t="s">
        <v>507</v>
      </c>
      <c r="F200" s="11" t="s">
        <v>783</v>
      </c>
      <c r="G200" s="11" t="s">
        <v>784</v>
      </c>
      <c r="H200" s="8" t="s">
        <v>151</v>
      </c>
      <c r="I200" s="32" t="s">
        <v>785</v>
      </c>
      <c r="J200" s="25">
        <v>43336</v>
      </c>
      <c r="K200" s="25">
        <v>43762</v>
      </c>
      <c r="L200" s="26">
        <f t="shared" si="91"/>
        <v>84.999998597642829</v>
      </c>
      <c r="M200" s="11">
        <v>2</v>
      </c>
      <c r="N200" s="11" t="s">
        <v>186</v>
      </c>
      <c r="O200" s="11" t="s">
        <v>184</v>
      </c>
      <c r="P200" s="27" t="s">
        <v>174</v>
      </c>
      <c r="Q200" s="11" t="s">
        <v>34</v>
      </c>
      <c r="R200" s="2">
        <f t="shared" si="92"/>
        <v>242448.93</v>
      </c>
      <c r="S200" s="30">
        <v>242448.93</v>
      </c>
      <c r="T200" s="30">
        <v>0</v>
      </c>
      <c r="U200" s="1">
        <f t="shared" si="93"/>
        <v>37080.43</v>
      </c>
      <c r="V200" s="42">
        <v>37080.43</v>
      </c>
      <c r="W200" s="42">
        <v>0</v>
      </c>
      <c r="X200" s="1">
        <f t="shared" si="94"/>
        <v>5704.68</v>
      </c>
      <c r="Y200" s="30">
        <v>5704.68</v>
      </c>
      <c r="Z200" s="30">
        <v>0</v>
      </c>
      <c r="AA200" s="2">
        <f t="shared" si="95"/>
        <v>0</v>
      </c>
      <c r="AB200" s="30">
        <v>0</v>
      </c>
      <c r="AC200" s="30">
        <v>0</v>
      </c>
      <c r="AD200" s="16">
        <f t="shared" si="90"/>
        <v>285234.03999999998</v>
      </c>
      <c r="AE200" s="38">
        <v>0</v>
      </c>
      <c r="AF200" s="2">
        <f t="shared" si="96"/>
        <v>285234.03999999998</v>
      </c>
      <c r="AG200" s="21" t="s">
        <v>857</v>
      </c>
      <c r="AH200" s="29" t="s">
        <v>151</v>
      </c>
      <c r="AI200" s="30">
        <v>220919.96</v>
      </c>
      <c r="AJ200" s="30">
        <v>33787.72</v>
      </c>
    </row>
    <row r="201" spans="1:36" ht="189" x14ac:dyDescent="0.25">
      <c r="A201" s="6">
        <v>198</v>
      </c>
      <c r="B201" s="31">
        <v>126419</v>
      </c>
      <c r="C201" s="31">
        <v>561</v>
      </c>
      <c r="D201" s="9" t="s">
        <v>1638</v>
      </c>
      <c r="E201" s="24" t="s">
        <v>899</v>
      </c>
      <c r="F201" s="11" t="s">
        <v>902</v>
      </c>
      <c r="G201" s="11" t="s">
        <v>784</v>
      </c>
      <c r="H201" s="8" t="s">
        <v>151</v>
      </c>
      <c r="I201" s="12" t="s">
        <v>2705</v>
      </c>
      <c r="J201" s="25">
        <v>43432</v>
      </c>
      <c r="K201" s="25">
        <v>44832</v>
      </c>
      <c r="L201" s="26">
        <f t="shared" si="91"/>
        <v>85</v>
      </c>
      <c r="M201" s="31">
        <v>2</v>
      </c>
      <c r="N201" s="11" t="s">
        <v>186</v>
      </c>
      <c r="O201" s="11" t="s">
        <v>184</v>
      </c>
      <c r="P201" s="67" t="s">
        <v>174</v>
      </c>
      <c r="Q201" s="11" t="s">
        <v>34</v>
      </c>
      <c r="R201" s="76">
        <f t="shared" si="92"/>
        <v>2627225.9</v>
      </c>
      <c r="S201" s="30">
        <v>2627225.9</v>
      </c>
      <c r="T201" s="30">
        <v>0</v>
      </c>
      <c r="U201" s="1">
        <f t="shared" si="93"/>
        <v>401811.02</v>
      </c>
      <c r="V201" s="28">
        <v>401811.02</v>
      </c>
      <c r="W201" s="42">
        <v>0</v>
      </c>
      <c r="X201" s="1">
        <f t="shared" si="94"/>
        <v>61817.079999999994</v>
      </c>
      <c r="Y201" s="78">
        <v>61817.079999999994</v>
      </c>
      <c r="Z201" s="30">
        <v>0</v>
      </c>
      <c r="AA201" s="2">
        <f t="shared" si="95"/>
        <v>0</v>
      </c>
      <c r="AB201" s="30">
        <v>0</v>
      </c>
      <c r="AC201" s="30">
        <v>0</v>
      </c>
      <c r="AD201" s="16">
        <f t="shared" si="90"/>
        <v>3090854</v>
      </c>
      <c r="AE201" s="31">
        <v>0</v>
      </c>
      <c r="AF201" s="2">
        <f t="shared" si="96"/>
        <v>3090854</v>
      </c>
      <c r="AG201" s="38" t="s">
        <v>857</v>
      </c>
      <c r="AH201" s="35" t="s">
        <v>151</v>
      </c>
      <c r="AI201" s="30">
        <f>316850.48-6689.8-24163.88-3750.5+465290+138777.8+385108.4+744007.05+40226.25</f>
        <v>2055655.8</v>
      </c>
      <c r="AJ201" s="30">
        <f>1187.66+6689.8+24163.88+3750.5+71162+21224.84+58898.93+121164.55+6152.25</f>
        <v>314394.40999999997</v>
      </c>
    </row>
    <row r="202" spans="1:36" ht="173.25" x14ac:dyDescent="0.25">
      <c r="A202" s="6">
        <v>199</v>
      </c>
      <c r="B202" s="31">
        <v>125256</v>
      </c>
      <c r="C202" s="31">
        <v>562</v>
      </c>
      <c r="D202" s="9" t="s">
        <v>1638</v>
      </c>
      <c r="E202" s="24" t="s">
        <v>899</v>
      </c>
      <c r="F202" s="11" t="s">
        <v>923</v>
      </c>
      <c r="G202" s="11" t="s">
        <v>1654</v>
      </c>
      <c r="H202" s="8" t="s">
        <v>151</v>
      </c>
      <c r="I202" s="12" t="s">
        <v>922</v>
      </c>
      <c r="J202" s="25">
        <v>43444</v>
      </c>
      <c r="K202" s="25">
        <v>43931</v>
      </c>
      <c r="L202" s="26">
        <f t="shared" si="91"/>
        <v>84.999999921204406</v>
      </c>
      <c r="M202" s="31">
        <v>2</v>
      </c>
      <c r="N202" s="11" t="s">
        <v>186</v>
      </c>
      <c r="O202" s="11" t="s">
        <v>186</v>
      </c>
      <c r="P202" s="67" t="s">
        <v>174</v>
      </c>
      <c r="Q202" s="11" t="s">
        <v>34</v>
      </c>
      <c r="R202" s="76">
        <f t="shared" si="92"/>
        <v>3236221.13</v>
      </c>
      <c r="S202" s="30">
        <v>3236221.13</v>
      </c>
      <c r="T202" s="30">
        <v>0</v>
      </c>
      <c r="U202" s="1">
        <f t="shared" si="93"/>
        <v>494951.47</v>
      </c>
      <c r="V202" s="28">
        <v>494951.47</v>
      </c>
      <c r="W202" s="42">
        <v>0</v>
      </c>
      <c r="X202" s="1">
        <f t="shared" si="94"/>
        <v>76146.38</v>
      </c>
      <c r="Y202" s="78">
        <v>76146.38</v>
      </c>
      <c r="Z202" s="30">
        <v>0</v>
      </c>
      <c r="AA202" s="2">
        <f t="shared" si="95"/>
        <v>0</v>
      </c>
      <c r="AB202" s="30">
        <v>0</v>
      </c>
      <c r="AC202" s="30">
        <v>0</v>
      </c>
      <c r="AD202" s="16">
        <f t="shared" si="90"/>
        <v>3807318.9799999995</v>
      </c>
      <c r="AE202" s="31">
        <v>630578.23</v>
      </c>
      <c r="AF202" s="2">
        <f t="shared" si="96"/>
        <v>4437897.209999999</v>
      </c>
      <c r="AG202" s="38" t="s">
        <v>857</v>
      </c>
      <c r="AH202" s="38" t="s">
        <v>1394</v>
      </c>
      <c r="AI202" s="30">
        <v>2739230.71</v>
      </c>
      <c r="AJ202" s="30">
        <v>418941.15000000008</v>
      </c>
    </row>
    <row r="203" spans="1:36" ht="346.5" x14ac:dyDescent="0.25">
      <c r="A203" s="6">
        <v>200</v>
      </c>
      <c r="B203" s="31">
        <v>126291</v>
      </c>
      <c r="C203" s="31">
        <v>535</v>
      </c>
      <c r="D203" s="9" t="s">
        <v>1638</v>
      </c>
      <c r="E203" s="24" t="s">
        <v>899</v>
      </c>
      <c r="F203" s="11" t="s">
        <v>965</v>
      </c>
      <c r="G203" s="11" t="s">
        <v>966</v>
      </c>
      <c r="H203" s="8" t="s">
        <v>151</v>
      </c>
      <c r="I203" s="12" t="s">
        <v>2706</v>
      </c>
      <c r="J203" s="25">
        <v>43493</v>
      </c>
      <c r="K203" s="25">
        <v>44344</v>
      </c>
      <c r="L203" s="26">
        <f t="shared" si="91"/>
        <v>85</v>
      </c>
      <c r="M203" s="31">
        <v>2</v>
      </c>
      <c r="N203" s="11" t="s">
        <v>186</v>
      </c>
      <c r="O203" s="11" t="s">
        <v>186</v>
      </c>
      <c r="P203" s="67" t="s">
        <v>174</v>
      </c>
      <c r="Q203" s="11" t="s">
        <v>34</v>
      </c>
      <c r="R203" s="76">
        <f t="shared" si="92"/>
        <v>1370650.5</v>
      </c>
      <c r="S203" s="30">
        <v>1370650.5</v>
      </c>
      <c r="T203" s="30">
        <v>0</v>
      </c>
      <c r="U203" s="1">
        <f t="shared" si="93"/>
        <v>209628.9</v>
      </c>
      <c r="V203" s="28">
        <v>209628.9</v>
      </c>
      <c r="W203" s="77">
        <v>0</v>
      </c>
      <c r="X203" s="1">
        <f t="shared" si="94"/>
        <v>32250.6</v>
      </c>
      <c r="Y203" s="78">
        <v>32250.6</v>
      </c>
      <c r="Z203" s="30">
        <v>0</v>
      </c>
      <c r="AA203" s="2">
        <f t="shared" si="95"/>
        <v>0</v>
      </c>
      <c r="AB203" s="2">
        <v>0</v>
      </c>
      <c r="AC203" s="2">
        <v>0</v>
      </c>
      <c r="AD203" s="16">
        <f t="shared" si="90"/>
        <v>1612530</v>
      </c>
      <c r="AE203" s="31"/>
      <c r="AF203" s="2">
        <f t="shared" si="96"/>
        <v>1612530</v>
      </c>
      <c r="AG203" s="38" t="s">
        <v>857</v>
      </c>
      <c r="AH203" s="38" t="s">
        <v>1571</v>
      </c>
      <c r="AI203" s="30">
        <f>355563.46+309565.75+152873.35+9352.55+84743.47</f>
        <v>912098.58</v>
      </c>
      <c r="AJ203" s="30">
        <f>54380.3+47345.35+23380.63+1430.39+12960.77</f>
        <v>139497.44</v>
      </c>
    </row>
    <row r="204" spans="1:36" ht="141.75" x14ac:dyDescent="0.25">
      <c r="A204" s="6">
        <v>201</v>
      </c>
      <c r="B204" s="31">
        <v>128555</v>
      </c>
      <c r="C204" s="31">
        <v>679</v>
      </c>
      <c r="D204" s="9" t="s">
        <v>1638</v>
      </c>
      <c r="E204" s="24" t="s">
        <v>1071</v>
      </c>
      <c r="F204" s="11" t="s">
        <v>1223</v>
      </c>
      <c r="G204" s="11" t="s">
        <v>966</v>
      </c>
      <c r="H204" s="102" t="s">
        <v>1359</v>
      </c>
      <c r="I204" s="12" t="s">
        <v>2707</v>
      </c>
      <c r="J204" s="25">
        <v>43690</v>
      </c>
      <c r="K204" s="25">
        <v>44178</v>
      </c>
      <c r="L204" s="26">
        <f t="shared" si="91"/>
        <v>84.193851603626115</v>
      </c>
      <c r="M204" s="31">
        <v>2</v>
      </c>
      <c r="N204" s="11" t="s">
        <v>186</v>
      </c>
      <c r="O204" s="11" t="s">
        <v>186</v>
      </c>
      <c r="P204" s="67" t="s">
        <v>174</v>
      </c>
      <c r="Q204" s="11" t="s">
        <v>34</v>
      </c>
      <c r="R204" s="76">
        <f t="shared" si="92"/>
        <v>298646.52</v>
      </c>
      <c r="S204" s="30">
        <v>298646.52</v>
      </c>
      <c r="T204" s="30">
        <v>0</v>
      </c>
      <c r="U204" s="1">
        <f t="shared" si="93"/>
        <v>48972.19</v>
      </c>
      <c r="V204" s="28">
        <v>48972.19</v>
      </c>
      <c r="W204" s="42">
        <v>0</v>
      </c>
      <c r="X204" s="1">
        <f t="shared" si="94"/>
        <v>3730.13</v>
      </c>
      <c r="Y204" s="78">
        <v>3730.13</v>
      </c>
      <c r="Z204" s="30">
        <v>0</v>
      </c>
      <c r="AA204" s="2">
        <f t="shared" si="95"/>
        <v>3364.14</v>
      </c>
      <c r="AB204" s="78">
        <v>3364.14</v>
      </c>
      <c r="AC204" s="30">
        <v>0</v>
      </c>
      <c r="AD204" s="16">
        <f t="shared" si="90"/>
        <v>354712.98000000004</v>
      </c>
      <c r="AE204" s="31">
        <v>0</v>
      </c>
      <c r="AF204" s="2">
        <f t="shared" si="96"/>
        <v>354712.98000000004</v>
      </c>
      <c r="AG204" s="38" t="s">
        <v>857</v>
      </c>
      <c r="AH204" s="38" t="s">
        <v>1620</v>
      </c>
      <c r="AI204" s="30">
        <f>185469.97+6878.14+35470+27093.36+4489.6</f>
        <v>259401.07000000004</v>
      </c>
      <c r="AJ204" s="30">
        <f>4005.59+20340.83+7694.75+10159.19+699.82</f>
        <v>42900.18</v>
      </c>
    </row>
    <row r="205" spans="1:36" ht="157.5" x14ac:dyDescent="0.25">
      <c r="A205" s="6">
        <v>202</v>
      </c>
      <c r="B205" s="31">
        <v>151809</v>
      </c>
      <c r="C205" s="31">
        <v>1113</v>
      </c>
      <c r="D205" s="9" t="s">
        <v>1639</v>
      </c>
      <c r="E205" s="24" t="s">
        <v>1801</v>
      </c>
      <c r="F205" s="11" t="s">
        <v>1945</v>
      </c>
      <c r="G205" s="11" t="s">
        <v>1944</v>
      </c>
      <c r="H205" s="11" t="s">
        <v>1932</v>
      </c>
      <c r="I205" s="12" t="s">
        <v>2708</v>
      </c>
      <c r="J205" s="25">
        <v>44551</v>
      </c>
      <c r="K205" s="25">
        <v>45037</v>
      </c>
      <c r="L205" s="26">
        <f t="shared" si="91"/>
        <v>85.000005574441857</v>
      </c>
      <c r="M205" s="31">
        <v>2</v>
      </c>
      <c r="N205" s="11" t="s">
        <v>186</v>
      </c>
      <c r="O205" s="11" t="s">
        <v>186</v>
      </c>
      <c r="P205" s="67" t="s">
        <v>174</v>
      </c>
      <c r="Q205" s="11" t="s">
        <v>34</v>
      </c>
      <c r="R205" s="76">
        <f t="shared" si="92"/>
        <v>282091.03999999998</v>
      </c>
      <c r="S205" s="30">
        <v>282091.03999999998</v>
      </c>
      <c r="T205" s="30">
        <v>0</v>
      </c>
      <c r="U205" s="1">
        <f t="shared" si="93"/>
        <v>32459.439999999999</v>
      </c>
      <c r="V205" s="28">
        <v>32459.439999999999</v>
      </c>
      <c r="W205" s="42">
        <v>0</v>
      </c>
      <c r="X205" s="1">
        <f t="shared" si="94"/>
        <v>17321.310000000001</v>
      </c>
      <c r="Y205" s="78">
        <v>17321.310000000001</v>
      </c>
      <c r="Z205" s="30">
        <v>0</v>
      </c>
      <c r="AA205" s="2">
        <f t="shared" si="95"/>
        <v>0</v>
      </c>
      <c r="AB205" s="30">
        <v>0</v>
      </c>
      <c r="AC205" s="30">
        <v>0</v>
      </c>
      <c r="AD205" s="16">
        <f t="shared" si="90"/>
        <v>331871.78999999998</v>
      </c>
      <c r="AE205" s="31">
        <v>0</v>
      </c>
      <c r="AF205" s="2">
        <f t="shared" si="96"/>
        <v>331871.78999999998</v>
      </c>
      <c r="AG205" s="38" t="s">
        <v>486</v>
      </c>
      <c r="AH205" s="38"/>
      <c r="AI205" s="30">
        <v>31008.42</v>
      </c>
      <c r="AJ205" s="30">
        <v>4742.47</v>
      </c>
    </row>
    <row r="206" spans="1:36" ht="189" x14ac:dyDescent="0.25">
      <c r="A206" s="6">
        <v>203</v>
      </c>
      <c r="B206" s="31">
        <v>155078</v>
      </c>
      <c r="C206" s="31">
        <v>1203</v>
      </c>
      <c r="D206" s="9" t="s">
        <v>1638</v>
      </c>
      <c r="E206" s="24" t="s">
        <v>2012</v>
      </c>
      <c r="F206" s="11" t="s">
        <v>2136</v>
      </c>
      <c r="G206" s="11" t="s">
        <v>784</v>
      </c>
      <c r="H206" s="8" t="s">
        <v>151</v>
      </c>
      <c r="I206" s="12" t="s">
        <v>2709</v>
      </c>
      <c r="J206" s="25">
        <v>44665</v>
      </c>
      <c r="K206" s="25">
        <v>45091</v>
      </c>
      <c r="L206" s="26">
        <f t="shared" si="91"/>
        <v>85.000000000000014</v>
      </c>
      <c r="M206" s="31">
        <v>2</v>
      </c>
      <c r="N206" s="11" t="s">
        <v>186</v>
      </c>
      <c r="O206" s="11" t="s">
        <v>184</v>
      </c>
      <c r="P206" s="67" t="s">
        <v>174</v>
      </c>
      <c r="Q206" s="11" t="s">
        <v>34</v>
      </c>
      <c r="R206" s="76">
        <f t="shared" si="92"/>
        <v>2549689.2400000002</v>
      </c>
      <c r="S206" s="30">
        <v>2549689.2400000002</v>
      </c>
      <c r="T206" s="30">
        <v>0</v>
      </c>
      <c r="U206" s="1">
        <f t="shared" si="93"/>
        <v>389952.47</v>
      </c>
      <c r="V206" s="28">
        <v>389952.47</v>
      </c>
      <c r="W206" s="42">
        <v>0</v>
      </c>
      <c r="X206" s="1">
        <f t="shared" si="94"/>
        <v>59992.69</v>
      </c>
      <c r="Y206" s="78">
        <v>59992.69</v>
      </c>
      <c r="Z206" s="30">
        <v>0</v>
      </c>
      <c r="AA206" s="2">
        <f t="shared" si="95"/>
        <v>0</v>
      </c>
      <c r="AB206" s="30">
        <v>0</v>
      </c>
      <c r="AC206" s="30">
        <v>0</v>
      </c>
      <c r="AD206" s="16">
        <f t="shared" si="90"/>
        <v>2999634.4</v>
      </c>
      <c r="AE206" s="31">
        <v>0</v>
      </c>
      <c r="AF206" s="2">
        <f t="shared" si="96"/>
        <v>2999634.4</v>
      </c>
      <c r="AG206" s="38" t="s">
        <v>486</v>
      </c>
      <c r="AH206" s="38"/>
      <c r="AI206" s="30">
        <v>0</v>
      </c>
      <c r="AJ206" s="30">
        <v>0</v>
      </c>
    </row>
    <row r="207" spans="1:36" ht="189" x14ac:dyDescent="0.25">
      <c r="A207" s="6">
        <v>204</v>
      </c>
      <c r="B207" s="31">
        <v>154130</v>
      </c>
      <c r="C207" s="31">
        <v>1250</v>
      </c>
      <c r="D207" s="9" t="s">
        <v>1638</v>
      </c>
      <c r="E207" s="24" t="s">
        <v>2012</v>
      </c>
      <c r="F207" s="11" t="s">
        <v>3286</v>
      </c>
      <c r="G207" s="11" t="s">
        <v>1944</v>
      </c>
      <c r="H207" s="8" t="s">
        <v>151</v>
      </c>
      <c r="I207" s="12" t="s">
        <v>3287</v>
      </c>
      <c r="J207" s="25">
        <v>44834</v>
      </c>
      <c r="K207" s="25">
        <v>45290</v>
      </c>
      <c r="L207" s="26">
        <f t="shared" si="91"/>
        <v>85.000000574004403</v>
      </c>
      <c r="M207" s="31"/>
      <c r="N207" s="11" t="s">
        <v>186</v>
      </c>
      <c r="O207" s="11" t="s">
        <v>186</v>
      </c>
      <c r="P207" s="67" t="s">
        <v>174</v>
      </c>
      <c r="Q207" s="11" t="s">
        <v>34</v>
      </c>
      <c r="R207" s="76">
        <f t="shared" si="92"/>
        <v>2517402.33</v>
      </c>
      <c r="S207" s="30">
        <v>2517402.33</v>
      </c>
      <c r="T207" s="30">
        <v>0</v>
      </c>
      <c r="U207" s="1">
        <f t="shared" si="93"/>
        <v>385014.46</v>
      </c>
      <c r="V207" s="28">
        <v>385014.46</v>
      </c>
      <c r="W207" s="42">
        <v>0</v>
      </c>
      <c r="X207" s="1">
        <f t="shared" si="94"/>
        <v>59232.99</v>
      </c>
      <c r="Y207" s="78">
        <v>59232.99</v>
      </c>
      <c r="Z207" s="30">
        <v>0</v>
      </c>
      <c r="AA207" s="2">
        <f t="shared" si="95"/>
        <v>0</v>
      </c>
      <c r="AB207" s="30">
        <v>0</v>
      </c>
      <c r="AC207" s="30">
        <v>0</v>
      </c>
      <c r="AD207" s="16">
        <f t="shared" si="90"/>
        <v>2961649.7800000003</v>
      </c>
      <c r="AE207" s="2">
        <v>70264.95</v>
      </c>
      <c r="AF207" s="2">
        <f t="shared" si="96"/>
        <v>3031914.7300000004</v>
      </c>
      <c r="AG207" s="38" t="s">
        <v>486</v>
      </c>
      <c r="AH207" s="38"/>
      <c r="AI207" s="30">
        <v>0</v>
      </c>
      <c r="AJ207" s="30">
        <v>0</v>
      </c>
    </row>
    <row r="208" spans="1:36" ht="141.75" x14ac:dyDescent="0.25">
      <c r="A208" s="6">
        <v>205</v>
      </c>
      <c r="B208" s="11">
        <v>111029</v>
      </c>
      <c r="C208" s="11">
        <v>126</v>
      </c>
      <c r="D208" s="9" t="s">
        <v>1638</v>
      </c>
      <c r="E208" s="24" t="s">
        <v>277</v>
      </c>
      <c r="F208" s="11" t="s">
        <v>331</v>
      </c>
      <c r="G208" s="11" t="s">
        <v>332</v>
      </c>
      <c r="H208" s="8" t="s">
        <v>151</v>
      </c>
      <c r="I208" s="12" t="s">
        <v>333</v>
      </c>
      <c r="J208" s="25">
        <v>43208</v>
      </c>
      <c r="K208" s="25">
        <v>43695</v>
      </c>
      <c r="L208" s="26">
        <f t="shared" ref="L208:L214" si="97">R208/AD208*100</f>
        <v>85.000001177275294</v>
      </c>
      <c r="M208" s="11">
        <v>3</v>
      </c>
      <c r="N208" s="11" t="s">
        <v>330</v>
      </c>
      <c r="O208" s="11" t="s">
        <v>330</v>
      </c>
      <c r="P208" s="27" t="s">
        <v>174</v>
      </c>
      <c r="Q208" s="11" t="s">
        <v>34</v>
      </c>
      <c r="R208" s="1">
        <f>S208+T208</f>
        <v>361003.08</v>
      </c>
      <c r="S208" s="2">
        <v>361003.08</v>
      </c>
      <c r="T208" s="2">
        <v>0</v>
      </c>
      <c r="U208" s="1">
        <f t="shared" ref="U208:U214" si="98">V208+W208</f>
        <v>55212.23</v>
      </c>
      <c r="V208" s="28">
        <v>55212.23</v>
      </c>
      <c r="W208" s="28"/>
      <c r="X208" s="1">
        <f t="shared" ref="X208:X214" si="99">Y208+Z208</f>
        <v>8494.19</v>
      </c>
      <c r="Y208" s="2">
        <v>8494.19</v>
      </c>
      <c r="Z208" s="2">
        <v>0</v>
      </c>
      <c r="AA208" s="2">
        <f t="shared" ref="AA208:AA214" si="100">AB208+AC208</f>
        <v>0</v>
      </c>
      <c r="AB208" s="2">
        <v>0</v>
      </c>
      <c r="AC208" s="2">
        <v>0</v>
      </c>
      <c r="AD208" s="16">
        <f t="shared" si="90"/>
        <v>424709.5</v>
      </c>
      <c r="AE208" s="2">
        <v>0</v>
      </c>
      <c r="AF208" s="2">
        <f t="shared" ref="AF208:AF214" si="101">AD208+AE208</f>
        <v>424709.5</v>
      </c>
      <c r="AG208" s="21" t="s">
        <v>857</v>
      </c>
      <c r="AH208" s="29" t="s">
        <v>151</v>
      </c>
      <c r="AI208" s="30">
        <v>306350.18</v>
      </c>
      <c r="AJ208" s="30">
        <v>46853.56</v>
      </c>
    </row>
    <row r="209" spans="1:37" ht="141.75" x14ac:dyDescent="0.25">
      <c r="A209" s="6">
        <v>206</v>
      </c>
      <c r="B209" s="11">
        <v>116685</v>
      </c>
      <c r="C209" s="11">
        <v>407</v>
      </c>
      <c r="D209" s="32" t="s">
        <v>1639</v>
      </c>
      <c r="E209" s="24" t="s">
        <v>507</v>
      </c>
      <c r="F209" s="27" t="s">
        <v>649</v>
      </c>
      <c r="G209" s="11" t="s">
        <v>652</v>
      </c>
      <c r="H209" s="11" t="s">
        <v>650</v>
      </c>
      <c r="I209" s="12" t="s">
        <v>651</v>
      </c>
      <c r="J209" s="25">
        <v>43298</v>
      </c>
      <c r="K209" s="25">
        <v>43907</v>
      </c>
      <c r="L209" s="26">
        <f t="shared" si="97"/>
        <v>84.519132769277391</v>
      </c>
      <c r="M209" s="11">
        <v>3</v>
      </c>
      <c r="N209" s="11" t="s">
        <v>330</v>
      </c>
      <c r="O209" s="11" t="s">
        <v>330</v>
      </c>
      <c r="P209" s="27" t="s">
        <v>174</v>
      </c>
      <c r="Q209" s="11" t="s">
        <v>34</v>
      </c>
      <c r="R209" s="1">
        <f>S209+T209</f>
        <v>335058.15000000002</v>
      </c>
      <c r="S209" s="2">
        <v>335058.15000000002</v>
      </c>
      <c r="T209" s="2">
        <v>0</v>
      </c>
      <c r="U209" s="1">
        <f t="shared" si="98"/>
        <v>53442.06</v>
      </c>
      <c r="V209" s="28">
        <v>53442.06</v>
      </c>
      <c r="W209" s="28">
        <v>0</v>
      </c>
      <c r="X209" s="1">
        <f t="shared" si="99"/>
        <v>0</v>
      </c>
      <c r="Y209" s="2">
        <v>0</v>
      </c>
      <c r="Z209" s="2">
        <v>0</v>
      </c>
      <c r="AA209" s="2">
        <f t="shared" si="100"/>
        <v>7928.55</v>
      </c>
      <c r="AB209" s="2">
        <v>7928.55</v>
      </c>
      <c r="AC209" s="2">
        <v>0</v>
      </c>
      <c r="AD209" s="16">
        <f t="shared" si="90"/>
        <v>396428.76</v>
      </c>
      <c r="AE209" s="2">
        <v>0</v>
      </c>
      <c r="AF209" s="2">
        <f t="shared" si="101"/>
        <v>396428.76</v>
      </c>
      <c r="AG209" s="38" t="s">
        <v>857</v>
      </c>
      <c r="AH209" s="29" t="s">
        <v>1088</v>
      </c>
      <c r="AI209" s="30">
        <v>326035.62</v>
      </c>
      <c r="AJ209" s="30">
        <v>51899.82</v>
      </c>
    </row>
    <row r="210" spans="1:37" ht="409.5" x14ac:dyDescent="0.25">
      <c r="A210" s="6">
        <v>207</v>
      </c>
      <c r="B210" s="11">
        <v>118751</v>
      </c>
      <c r="C210" s="11">
        <v>437</v>
      </c>
      <c r="D210" s="32" t="s">
        <v>1639</v>
      </c>
      <c r="E210" s="24" t="s">
        <v>507</v>
      </c>
      <c r="F210" s="11" t="s">
        <v>791</v>
      </c>
      <c r="G210" s="11" t="s">
        <v>332</v>
      </c>
      <c r="H210" s="8" t="s">
        <v>151</v>
      </c>
      <c r="I210" s="12" t="s">
        <v>1356</v>
      </c>
      <c r="J210" s="25">
        <v>43340</v>
      </c>
      <c r="K210" s="25">
        <v>43644</v>
      </c>
      <c r="L210" s="26">
        <f t="shared" si="97"/>
        <v>85.000001668371198</v>
      </c>
      <c r="M210" s="11">
        <v>3</v>
      </c>
      <c r="N210" s="11" t="s">
        <v>330</v>
      </c>
      <c r="O210" s="11" t="s">
        <v>330</v>
      </c>
      <c r="P210" s="27" t="s">
        <v>174</v>
      </c>
      <c r="Q210" s="11" t="s">
        <v>34</v>
      </c>
      <c r="R210" s="1">
        <v>254739.48</v>
      </c>
      <c r="S210" s="30">
        <v>254739.48</v>
      </c>
      <c r="T210" s="2">
        <v>0</v>
      </c>
      <c r="U210" s="1">
        <f t="shared" si="98"/>
        <v>38960.15</v>
      </c>
      <c r="V210" s="28">
        <v>38960.15</v>
      </c>
      <c r="W210" s="28">
        <v>0</v>
      </c>
      <c r="X210" s="1">
        <f t="shared" si="99"/>
        <v>5993.87</v>
      </c>
      <c r="Y210" s="2">
        <v>5993.87</v>
      </c>
      <c r="Z210" s="2">
        <v>0</v>
      </c>
      <c r="AA210" s="2">
        <f t="shared" si="100"/>
        <v>0</v>
      </c>
      <c r="AB210" s="2">
        <v>0</v>
      </c>
      <c r="AC210" s="2">
        <v>0</v>
      </c>
      <c r="AD210" s="16">
        <f t="shared" si="90"/>
        <v>299693.5</v>
      </c>
      <c r="AE210" s="2">
        <v>0</v>
      </c>
      <c r="AF210" s="2">
        <f t="shared" si="101"/>
        <v>299693.5</v>
      </c>
      <c r="AG210" s="21" t="s">
        <v>857</v>
      </c>
      <c r="AH210" s="29" t="s">
        <v>151</v>
      </c>
      <c r="AI210" s="30">
        <v>248993.41</v>
      </c>
      <c r="AJ210" s="30">
        <v>38081.339999999997</v>
      </c>
      <c r="AK210" s="119"/>
    </row>
    <row r="211" spans="1:37" ht="173.25" x14ac:dyDescent="0.25">
      <c r="A211" s="6">
        <v>208</v>
      </c>
      <c r="B211" s="31">
        <v>126535</v>
      </c>
      <c r="C211" s="11">
        <v>564</v>
      </c>
      <c r="D211" s="9" t="s">
        <v>1638</v>
      </c>
      <c r="E211" s="24" t="s">
        <v>899</v>
      </c>
      <c r="F211" s="31" t="s">
        <v>937</v>
      </c>
      <c r="G211" s="11" t="s">
        <v>332</v>
      </c>
      <c r="H211" s="8" t="s">
        <v>151</v>
      </c>
      <c r="I211" s="32" t="s">
        <v>2710</v>
      </c>
      <c r="J211" s="25">
        <v>43447</v>
      </c>
      <c r="K211" s="25">
        <v>44908</v>
      </c>
      <c r="L211" s="26">
        <f t="shared" si="97"/>
        <v>85</v>
      </c>
      <c r="M211" s="11">
        <v>3</v>
      </c>
      <c r="N211" s="11" t="s">
        <v>330</v>
      </c>
      <c r="O211" s="11" t="s">
        <v>330</v>
      </c>
      <c r="P211" s="27" t="s">
        <v>174</v>
      </c>
      <c r="Q211" s="11" t="s">
        <v>34</v>
      </c>
      <c r="R211" s="1">
        <f>S211+T211</f>
        <v>3199377.9</v>
      </c>
      <c r="S211" s="30">
        <v>3199377.9</v>
      </c>
      <c r="T211" s="30">
        <v>0</v>
      </c>
      <c r="U211" s="1">
        <f t="shared" si="98"/>
        <v>489316.62</v>
      </c>
      <c r="V211" s="42">
        <v>489316.62</v>
      </c>
      <c r="W211" s="42">
        <v>0</v>
      </c>
      <c r="X211" s="1">
        <f t="shared" si="99"/>
        <v>75279.48</v>
      </c>
      <c r="Y211" s="2">
        <v>75279.48</v>
      </c>
      <c r="Z211" s="2">
        <v>0</v>
      </c>
      <c r="AA211" s="2">
        <f t="shared" si="100"/>
        <v>0</v>
      </c>
      <c r="AB211" s="30">
        <v>0</v>
      </c>
      <c r="AC211" s="30">
        <v>0</v>
      </c>
      <c r="AD211" s="16">
        <f t="shared" si="90"/>
        <v>3763974</v>
      </c>
      <c r="AE211" s="2">
        <v>0</v>
      </c>
      <c r="AF211" s="2">
        <f t="shared" si="101"/>
        <v>3763974</v>
      </c>
      <c r="AG211" s="38" t="s">
        <v>486</v>
      </c>
      <c r="AH211" s="29" t="s">
        <v>1927</v>
      </c>
      <c r="AI211" s="30">
        <f>436731.77-12762.45+354620</f>
        <v>778589.32000000007</v>
      </c>
      <c r="AJ211" s="30">
        <f>49783.81+15058.55</f>
        <v>64842.36</v>
      </c>
    </row>
    <row r="212" spans="1:37" ht="189" x14ac:dyDescent="0.25">
      <c r="A212" s="6">
        <v>209</v>
      </c>
      <c r="B212" s="31">
        <v>135893</v>
      </c>
      <c r="C212" s="11">
        <v>791</v>
      </c>
      <c r="D212" s="9" t="s">
        <v>1638</v>
      </c>
      <c r="E212" s="24" t="s">
        <v>1441</v>
      </c>
      <c r="F212" s="31" t="s">
        <v>1454</v>
      </c>
      <c r="G212" s="11" t="s">
        <v>332</v>
      </c>
      <c r="H212" s="8" t="s">
        <v>151</v>
      </c>
      <c r="I212" s="12" t="s">
        <v>2711</v>
      </c>
      <c r="J212" s="25">
        <v>43959</v>
      </c>
      <c r="K212" s="25">
        <v>45238</v>
      </c>
      <c r="L212" s="26">
        <f t="shared" si="97"/>
        <v>85.000000000000014</v>
      </c>
      <c r="M212" s="11">
        <v>3</v>
      </c>
      <c r="N212" s="11" t="s">
        <v>330</v>
      </c>
      <c r="O212" s="11" t="s">
        <v>330</v>
      </c>
      <c r="P212" s="27" t="s">
        <v>174</v>
      </c>
      <c r="Q212" s="11" t="s">
        <v>34</v>
      </c>
      <c r="R212" s="1">
        <f>S212+T212</f>
        <v>3203800.45</v>
      </c>
      <c r="S212" s="30">
        <v>3203800.45</v>
      </c>
      <c r="T212" s="30">
        <v>0</v>
      </c>
      <c r="U212" s="1">
        <f t="shared" si="98"/>
        <v>489993.01</v>
      </c>
      <c r="V212" s="42">
        <v>489993.01</v>
      </c>
      <c r="W212" s="42">
        <v>0</v>
      </c>
      <c r="X212" s="1">
        <f t="shared" si="99"/>
        <v>75383.539999999994</v>
      </c>
      <c r="Y212" s="2">
        <v>75383.539999999994</v>
      </c>
      <c r="Z212" s="2">
        <v>0</v>
      </c>
      <c r="AA212" s="2">
        <f t="shared" si="100"/>
        <v>0</v>
      </c>
      <c r="AB212" s="30">
        <v>0</v>
      </c>
      <c r="AC212" s="30">
        <v>0</v>
      </c>
      <c r="AD212" s="16">
        <f t="shared" si="90"/>
        <v>3769177</v>
      </c>
      <c r="AE212" s="2">
        <v>0</v>
      </c>
      <c r="AF212" s="2">
        <f t="shared" si="101"/>
        <v>3769177</v>
      </c>
      <c r="AG212" s="38" t="s">
        <v>486</v>
      </c>
      <c r="AH212" s="29" t="s">
        <v>3294</v>
      </c>
      <c r="AI212" s="30">
        <f>9077.15+222941-26473.23+146626.43-21920.99</f>
        <v>330250.36</v>
      </c>
      <c r="AJ212" s="30">
        <f>1388.27+26473.23+21920.99</f>
        <v>49782.490000000005</v>
      </c>
    </row>
    <row r="213" spans="1:37" ht="173.25" x14ac:dyDescent="0.25">
      <c r="A213" s="6">
        <v>210</v>
      </c>
      <c r="B213" s="31">
        <v>135244</v>
      </c>
      <c r="C213" s="11">
        <v>817</v>
      </c>
      <c r="D213" s="9" t="s">
        <v>1638</v>
      </c>
      <c r="E213" s="24" t="s">
        <v>1441</v>
      </c>
      <c r="F213" s="11" t="s">
        <v>1470</v>
      </c>
      <c r="G213" s="11" t="s">
        <v>652</v>
      </c>
      <c r="H213" s="8" t="s">
        <v>151</v>
      </c>
      <c r="I213" s="12" t="s">
        <v>2712</v>
      </c>
      <c r="J213" s="25">
        <v>43969</v>
      </c>
      <c r="K213" s="25">
        <v>45187</v>
      </c>
      <c r="L213" s="26">
        <f t="shared" si="97"/>
        <v>85.000000120245716</v>
      </c>
      <c r="M213" s="11">
        <v>3</v>
      </c>
      <c r="N213" s="11" t="s">
        <v>330</v>
      </c>
      <c r="O213" s="11" t="s">
        <v>330</v>
      </c>
      <c r="P213" s="27" t="s">
        <v>174</v>
      </c>
      <c r="Q213" s="11" t="s">
        <v>34</v>
      </c>
      <c r="R213" s="1">
        <f>S213+T213</f>
        <v>3180986.65</v>
      </c>
      <c r="S213" s="2">
        <v>3180986.65</v>
      </c>
      <c r="T213" s="2">
        <v>0</v>
      </c>
      <c r="U213" s="1">
        <f t="shared" si="98"/>
        <v>486503.83</v>
      </c>
      <c r="V213" s="28">
        <v>486503.83</v>
      </c>
      <c r="W213" s="28">
        <v>0</v>
      </c>
      <c r="X213" s="1">
        <f t="shared" si="99"/>
        <v>74846.75</v>
      </c>
      <c r="Y213" s="2">
        <v>74846.75</v>
      </c>
      <c r="Z213" s="2">
        <v>0</v>
      </c>
      <c r="AA213" s="2">
        <f t="shared" si="100"/>
        <v>0</v>
      </c>
      <c r="AB213" s="30">
        <v>0</v>
      </c>
      <c r="AC213" s="30">
        <v>0</v>
      </c>
      <c r="AD213" s="16">
        <f t="shared" si="90"/>
        <v>3742337.23</v>
      </c>
      <c r="AE213" s="2">
        <v>0</v>
      </c>
      <c r="AF213" s="2">
        <f t="shared" si="101"/>
        <v>3742337.23</v>
      </c>
      <c r="AG213" s="38" t="s">
        <v>486</v>
      </c>
      <c r="AH213" s="29" t="s">
        <v>1982</v>
      </c>
      <c r="AI213" s="30">
        <f>108933+137399.08+463036.48-3960.32-3527.16-5940.48</f>
        <v>695940.6</v>
      </c>
      <c r="AJ213" s="30">
        <f>21013.98+70817.35+3960.32+3527.16+5940.48</f>
        <v>105259.29000000001</v>
      </c>
    </row>
    <row r="214" spans="1:37" ht="204.75" x14ac:dyDescent="0.25">
      <c r="A214" s="6">
        <v>211</v>
      </c>
      <c r="B214" s="31">
        <v>154992</v>
      </c>
      <c r="C214" s="11">
        <v>1202</v>
      </c>
      <c r="D214" s="9" t="s">
        <v>1638</v>
      </c>
      <c r="E214" s="24" t="s">
        <v>2012</v>
      </c>
      <c r="F214" s="31" t="s">
        <v>2162</v>
      </c>
      <c r="G214" s="11" t="s">
        <v>652</v>
      </c>
      <c r="H214" s="8" t="s">
        <v>151</v>
      </c>
      <c r="I214" s="12" t="s">
        <v>2713</v>
      </c>
      <c r="J214" s="25">
        <v>44669</v>
      </c>
      <c r="K214" s="25">
        <v>45156</v>
      </c>
      <c r="L214" s="26">
        <f t="shared" si="97"/>
        <v>84.999999918523542</v>
      </c>
      <c r="M214" s="11">
        <v>3</v>
      </c>
      <c r="N214" s="11" t="s">
        <v>330</v>
      </c>
      <c r="O214" s="11" t="s">
        <v>330</v>
      </c>
      <c r="P214" s="27" t="s">
        <v>174</v>
      </c>
      <c r="Q214" s="11" t="s">
        <v>34</v>
      </c>
      <c r="R214" s="1">
        <f>S214+T214</f>
        <v>2086492.38</v>
      </c>
      <c r="S214" s="2">
        <v>2086492.38</v>
      </c>
      <c r="T214" s="2">
        <v>0</v>
      </c>
      <c r="U214" s="1">
        <f t="shared" si="98"/>
        <v>319110.59999999998</v>
      </c>
      <c r="V214" s="28">
        <v>319110.59999999998</v>
      </c>
      <c r="W214" s="28">
        <v>0</v>
      </c>
      <c r="X214" s="1">
        <f t="shared" si="99"/>
        <v>49093.94</v>
      </c>
      <c r="Y214" s="2">
        <v>49093.94</v>
      </c>
      <c r="Z214" s="2">
        <v>0</v>
      </c>
      <c r="AA214" s="2">
        <f t="shared" si="100"/>
        <v>0</v>
      </c>
      <c r="AB214" s="30">
        <v>0</v>
      </c>
      <c r="AC214" s="30">
        <v>0</v>
      </c>
      <c r="AD214" s="16">
        <f t="shared" si="90"/>
        <v>2454696.92</v>
      </c>
      <c r="AE214" s="2">
        <v>0</v>
      </c>
      <c r="AF214" s="2">
        <f t="shared" si="101"/>
        <v>2454696.92</v>
      </c>
      <c r="AG214" s="38" t="s">
        <v>486</v>
      </c>
      <c r="AH214" s="29"/>
      <c r="AI214" s="30">
        <v>200000</v>
      </c>
      <c r="AJ214" s="30">
        <v>0</v>
      </c>
    </row>
    <row r="215" spans="1:37" ht="141.75" x14ac:dyDescent="0.25">
      <c r="A215" s="6">
        <v>212</v>
      </c>
      <c r="B215" s="11">
        <v>120638</v>
      </c>
      <c r="C215" s="11">
        <v>97</v>
      </c>
      <c r="D215" s="9" t="s">
        <v>1638</v>
      </c>
      <c r="E215" s="24" t="s">
        <v>277</v>
      </c>
      <c r="F215" s="11" t="s">
        <v>233</v>
      </c>
      <c r="G215" s="11" t="s">
        <v>1655</v>
      </c>
      <c r="H215" s="8" t="s">
        <v>151</v>
      </c>
      <c r="I215" s="46" t="s">
        <v>234</v>
      </c>
      <c r="J215" s="25">
        <v>43145</v>
      </c>
      <c r="K215" s="25">
        <v>43630</v>
      </c>
      <c r="L215" s="26">
        <f t="shared" ref="L215:L223" si="102">R215/AD215*100</f>
        <v>84.999998641808133</v>
      </c>
      <c r="M215" s="11">
        <v>4</v>
      </c>
      <c r="N215" s="11" t="s">
        <v>231</v>
      </c>
      <c r="O215" s="11" t="s">
        <v>232</v>
      </c>
      <c r="P215" s="27" t="s">
        <v>174</v>
      </c>
      <c r="Q215" s="11" t="s">
        <v>34</v>
      </c>
      <c r="R215" s="2">
        <f t="shared" ref="R215:R223" si="103">S215+T215</f>
        <v>312916.02</v>
      </c>
      <c r="S215" s="39">
        <v>312916.02</v>
      </c>
      <c r="T215" s="103">
        <v>0</v>
      </c>
      <c r="U215" s="1">
        <f t="shared" ref="U215:U233" si="104">V215+W215</f>
        <v>47857.75</v>
      </c>
      <c r="V215" s="28">
        <v>47857.75</v>
      </c>
      <c r="W215" s="28">
        <v>0</v>
      </c>
      <c r="X215" s="1">
        <f t="shared" ref="X215:X233" si="105">Y215+Z215</f>
        <v>7362.73</v>
      </c>
      <c r="Y215" s="2">
        <v>7362.73</v>
      </c>
      <c r="Z215" s="2">
        <v>0</v>
      </c>
      <c r="AA215" s="2">
        <f t="shared" ref="AA215:AA223" si="106">AB215+AC215</f>
        <v>0</v>
      </c>
      <c r="AB215" s="2">
        <v>0</v>
      </c>
      <c r="AC215" s="2">
        <v>0</v>
      </c>
      <c r="AD215" s="16">
        <f t="shared" si="90"/>
        <v>368136.5</v>
      </c>
      <c r="AE215" s="2">
        <v>0</v>
      </c>
      <c r="AF215" s="2">
        <f t="shared" ref="AF215:AF223" si="107">AD215+AE215</f>
        <v>368136.5</v>
      </c>
      <c r="AG215" s="21" t="s">
        <v>857</v>
      </c>
      <c r="AH215" s="29" t="s">
        <v>294</v>
      </c>
      <c r="AI215" s="30">
        <v>237555.28999999998</v>
      </c>
      <c r="AJ215" s="30">
        <v>36331.979999999996</v>
      </c>
    </row>
    <row r="216" spans="1:37" ht="141.75" x14ac:dyDescent="0.25">
      <c r="A216" s="6">
        <v>213</v>
      </c>
      <c r="B216" s="31">
        <v>120714</v>
      </c>
      <c r="C216" s="11">
        <v>111</v>
      </c>
      <c r="D216" s="9" t="s">
        <v>1638</v>
      </c>
      <c r="E216" s="24" t="s">
        <v>277</v>
      </c>
      <c r="F216" s="11" t="s">
        <v>250</v>
      </c>
      <c r="G216" s="11" t="s">
        <v>908</v>
      </c>
      <c r="H216" s="11" t="s">
        <v>249</v>
      </c>
      <c r="I216" s="12" t="s">
        <v>432</v>
      </c>
      <c r="J216" s="25">
        <v>43166</v>
      </c>
      <c r="K216" s="25">
        <v>43653</v>
      </c>
      <c r="L216" s="26">
        <f t="shared" si="102"/>
        <v>85</v>
      </c>
      <c r="M216" s="11">
        <v>4</v>
      </c>
      <c r="N216" s="11" t="s">
        <v>231</v>
      </c>
      <c r="O216" s="11" t="s">
        <v>232</v>
      </c>
      <c r="P216" s="27" t="s">
        <v>174</v>
      </c>
      <c r="Q216" s="11" t="s">
        <v>34</v>
      </c>
      <c r="R216" s="2">
        <f t="shared" si="103"/>
        <v>355906.39</v>
      </c>
      <c r="S216" s="57">
        <v>355906.39</v>
      </c>
      <c r="T216" s="57">
        <v>0</v>
      </c>
      <c r="U216" s="1">
        <f t="shared" si="104"/>
        <v>54432.74</v>
      </c>
      <c r="V216" s="28">
        <v>54432.74</v>
      </c>
      <c r="W216" s="28">
        <v>0</v>
      </c>
      <c r="X216" s="1">
        <f t="shared" si="105"/>
        <v>8374.27</v>
      </c>
      <c r="Y216" s="2">
        <v>8374.27</v>
      </c>
      <c r="Z216" s="2">
        <v>0</v>
      </c>
      <c r="AA216" s="2">
        <f t="shared" si="106"/>
        <v>0</v>
      </c>
      <c r="AB216" s="2">
        <v>0</v>
      </c>
      <c r="AC216" s="2">
        <v>0</v>
      </c>
      <c r="AD216" s="16">
        <f t="shared" si="90"/>
        <v>418713.4</v>
      </c>
      <c r="AE216" s="2">
        <v>0</v>
      </c>
      <c r="AF216" s="2">
        <f t="shared" si="107"/>
        <v>418713.4</v>
      </c>
      <c r="AG216" s="21" t="s">
        <v>857</v>
      </c>
      <c r="AH216" s="29" t="s">
        <v>151</v>
      </c>
      <c r="AI216" s="30">
        <v>292880.73</v>
      </c>
      <c r="AJ216" s="30">
        <v>44793.507300000012</v>
      </c>
    </row>
    <row r="217" spans="1:37" ht="141.75" x14ac:dyDescent="0.25">
      <c r="A217" s="6">
        <v>214</v>
      </c>
      <c r="B217" s="31">
        <v>119758</v>
      </c>
      <c r="C217" s="11">
        <v>460</v>
      </c>
      <c r="D217" s="9" t="s">
        <v>1638</v>
      </c>
      <c r="E217" s="24" t="s">
        <v>457</v>
      </c>
      <c r="F217" s="70" t="s">
        <v>479</v>
      </c>
      <c r="G217" s="11" t="s">
        <v>480</v>
      </c>
      <c r="H217" s="8" t="s">
        <v>151</v>
      </c>
      <c r="I217" s="12" t="s">
        <v>2714</v>
      </c>
      <c r="J217" s="25">
        <v>43264</v>
      </c>
      <c r="K217" s="25">
        <v>43751</v>
      </c>
      <c r="L217" s="26">
        <f t="shared" si="102"/>
        <v>85</v>
      </c>
      <c r="M217" s="11">
        <v>4</v>
      </c>
      <c r="N217" s="11" t="s">
        <v>231</v>
      </c>
      <c r="O217" s="11" t="s">
        <v>481</v>
      </c>
      <c r="P217" s="27" t="s">
        <v>174</v>
      </c>
      <c r="Q217" s="11" t="s">
        <v>34</v>
      </c>
      <c r="R217" s="2">
        <f t="shared" si="103"/>
        <v>356536.75</v>
      </c>
      <c r="S217" s="57">
        <v>356536.75</v>
      </c>
      <c r="T217" s="57">
        <v>0</v>
      </c>
      <c r="U217" s="1">
        <f t="shared" si="104"/>
        <v>54529.15</v>
      </c>
      <c r="V217" s="28">
        <v>54529.15</v>
      </c>
      <c r="W217" s="28"/>
      <c r="X217" s="1">
        <f t="shared" si="105"/>
        <v>8389.1</v>
      </c>
      <c r="Y217" s="2">
        <v>8389.1</v>
      </c>
      <c r="Z217" s="2">
        <v>0</v>
      </c>
      <c r="AA217" s="2">
        <f t="shared" si="106"/>
        <v>0</v>
      </c>
      <c r="AB217" s="2">
        <v>0</v>
      </c>
      <c r="AC217" s="2">
        <v>0</v>
      </c>
      <c r="AD217" s="16">
        <f t="shared" si="90"/>
        <v>419455</v>
      </c>
      <c r="AE217" s="2"/>
      <c r="AF217" s="2">
        <f t="shared" si="107"/>
        <v>419455</v>
      </c>
      <c r="AG217" s="21" t="s">
        <v>857</v>
      </c>
      <c r="AH217" s="29"/>
      <c r="AI217" s="30">
        <v>294297.16000000003</v>
      </c>
      <c r="AJ217" s="30">
        <v>45010.169999999991</v>
      </c>
    </row>
    <row r="218" spans="1:37" ht="141.75" x14ac:dyDescent="0.25">
      <c r="A218" s="6">
        <v>215</v>
      </c>
      <c r="B218" s="31">
        <v>116766</v>
      </c>
      <c r="C218" s="11">
        <v>409</v>
      </c>
      <c r="D218" s="32" t="s">
        <v>1639</v>
      </c>
      <c r="E218" s="11" t="s">
        <v>507</v>
      </c>
      <c r="F218" s="11" t="s">
        <v>540</v>
      </c>
      <c r="G218" s="11" t="s">
        <v>1655</v>
      </c>
      <c r="H218" s="8" t="s">
        <v>151</v>
      </c>
      <c r="I218" s="32" t="s">
        <v>2715</v>
      </c>
      <c r="J218" s="25">
        <v>43278</v>
      </c>
      <c r="K218" s="25">
        <v>43826</v>
      </c>
      <c r="L218" s="26">
        <f t="shared" si="102"/>
        <v>85.000000275422053</v>
      </c>
      <c r="M218" s="11">
        <v>4</v>
      </c>
      <c r="N218" s="11" t="s">
        <v>231</v>
      </c>
      <c r="O218" s="40" t="s">
        <v>541</v>
      </c>
      <c r="P218" s="40" t="s">
        <v>174</v>
      </c>
      <c r="Q218" s="11" t="s">
        <v>34</v>
      </c>
      <c r="R218" s="2">
        <f t="shared" si="103"/>
        <v>308617.27</v>
      </c>
      <c r="S218" s="57">
        <v>308617.27</v>
      </c>
      <c r="T218" s="57">
        <v>0</v>
      </c>
      <c r="U218" s="1">
        <f t="shared" si="104"/>
        <v>47200.29</v>
      </c>
      <c r="V218" s="28">
        <v>47200.29</v>
      </c>
      <c r="W218" s="28">
        <v>0</v>
      </c>
      <c r="X218" s="1">
        <f t="shared" si="105"/>
        <v>7261.58</v>
      </c>
      <c r="Y218" s="2">
        <v>7261.58</v>
      </c>
      <c r="Z218" s="1">
        <v>0</v>
      </c>
      <c r="AA218" s="2">
        <f t="shared" si="106"/>
        <v>0</v>
      </c>
      <c r="AB218" s="1">
        <v>0</v>
      </c>
      <c r="AC218" s="1">
        <v>0</v>
      </c>
      <c r="AD218" s="16">
        <f t="shared" si="90"/>
        <v>363079.14</v>
      </c>
      <c r="AE218" s="104">
        <v>0</v>
      </c>
      <c r="AF218" s="2">
        <f t="shared" si="107"/>
        <v>363079.14</v>
      </c>
      <c r="AG218" s="38" t="s">
        <v>857</v>
      </c>
      <c r="AH218" s="73" t="s">
        <v>1340</v>
      </c>
      <c r="AI218" s="30">
        <v>225079</v>
      </c>
      <c r="AJ218" s="30">
        <v>34423.869999999995</v>
      </c>
    </row>
    <row r="219" spans="1:37" ht="141.75" x14ac:dyDescent="0.25">
      <c r="A219" s="6">
        <v>216</v>
      </c>
      <c r="B219" s="31">
        <v>126293</v>
      </c>
      <c r="C219" s="11">
        <v>523</v>
      </c>
      <c r="D219" s="9" t="s">
        <v>1638</v>
      </c>
      <c r="E219" s="11" t="s">
        <v>899</v>
      </c>
      <c r="F219" s="11" t="s">
        <v>929</v>
      </c>
      <c r="G219" s="11" t="s">
        <v>908</v>
      </c>
      <c r="H219" s="8" t="s">
        <v>151</v>
      </c>
      <c r="I219" s="32" t="s">
        <v>2716</v>
      </c>
      <c r="J219" s="25">
        <v>43437</v>
      </c>
      <c r="K219" s="25">
        <v>44564</v>
      </c>
      <c r="L219" s="26">
        <f t="shared" si="102"/>
        <v>85.000000538702352</v>
      </c>
      <c r="M219" s="11">
        <v>4</v>
      </c>
      <c r="N219" s="11" t="s">
        <v>231</v>
      </c>
      <c r="O219" s="40" t="s">
        <v>541</v>
      </c>
      <c r="P219" s="40" t="s">
        <v>174</v>
      </c>
      <c r="Q219" s="11" t="s">
        <v>34</v>
      </c>
      <c r="R219" s="2">
        <f t="shared" si="103"/>
        <v>2366798.75</v>
      </c>
      <c r="S219" s="57">
        <v>2366798.75</v>
      </c>
      <c r="T219" s="57">
        <v>0</v>
      </c>
      <c r="U219" s="1">
        <f t="shared" si="104"/>
        <v>361980.97</v>
      </c>
      <c r="V219" s="28">
        <v>361980.97</v>
      </c>
      <c r="W219" s="28">
        <v>0</v>
      </c>
      <c r="X219" s="1">
        <f t="shared" si="105"/>
        <v>55689.38</v>
      </c>
      <c r="Y219" s="2">
        <v>55689.38</v>
      </c>
      <c r="Z219" s="30">
        <v>0</v>
      </c>
      <c r="AA219" s="2">
        <f t="shared" si="106"/>
        <v>0</v>
      </c>
      <c r="AB219" s="30">
        <v>0</v>
      </c>
      <c r="AC219" s="30">
        <v>0</v>
      </c>
      <c r="AD219" s="16">
        <f t="shared" si="90"/>
        <v>2784469.0999999996</v>
      </c>
      <c r="AE219" s="2">
        <v>129948</v>
      </c>
      <c r="AF219" s="2">
        <f t="shared" si="107"/>
        <v>2914417.0999999996</v>
      </c>
      <c r="AG219" s="38" t="s">
        <v>857</v>
      </c>
      <c r="AH219" s="73" t="s">
        <v>1757</v>
      </c>
      <c r="AI219" s="30">
        <f>319351.51+294803.9+201586.29+363120.54+102457.87+370209+338953.65+27108.2+24195.08</f>
        <v>2041786.0399999998</v>
      </c>
      <c r="AJ219" s="30">
        <f>48841.98+45087.66+30830.84+55536.09+15670.03+56620.2+51839.97+4145.96+3700.42</f>
        <v>312273.15000000002</v>
      </c>
    </row>
    <row r="220" spans="1:37" ht="141.75" x14ac:dyDescent="0.25">
      <c r="A220" s="6">
        <v>217</v>
      </c>
      <c r="B220" s="31">
        <v>126212</v>
      </c>
      <c r="C220" s="11">
        <v>516</v>
      </c>
      <c r="D220" s="9" t="s">
        <v>1638</v>
      </c>
      <c r="E220" s="11" t="s">
        <v>899</v>
      </c>
      <c r="F220" s="11" t="s">
        <v>928</v>
      </c>
      <c r="G220" s="11" t="s">
        <v>480</v>
      </c>
      <c r="H220" s="8" t="s">
        <v>151</v>
      </c>
      <c r="I220" s="32" t="s">
        <v>2717</v>
      </c>
      <c r="J220" s="25">
        <v>43445</v>
      </c>
      <c r="K220" s="25">
        <v>44358</v>
      </c>
      <c r="L220" s="26">
        <f t="shared" si="102"/>
        <v>85.000000138721092</v>
      </c>
      <c r="M220" s="11">
        <v>4</v>
      </c>
      <c r="N220" s="11" t="s">
        <v>231</v>
      </c>
      <c r="O220" s="11" t="s">
        <v>481</v>
      </c>
      <c r="P220" s="11" t="s">
        <v>174</v>
      </c>
      <c r="Q220" s="11" t="s">
        <v>34</v>
      </c>
      <c r="R220" s="2">
        <f t="shared" si="103"/>
        <v>3063701.5</v>
      </c>
      <c r="S220" s="57">
        <v>3063701.5</v>
      </c>
      <c r="T220" s="57">
        <v>0</v>
      </c>
      <c r="U220" s="1">
        <f t="shared" si="104"/>
        <v>468566.11</v>
      </c>
      <c r="V220" s="28">
        <v>468566.11</v>
      </c>
      <c r="W220" s="28">
        <v>0</v>
      </c>
      <c r="X220" s="1">
        <f t="shared" si="105"/>
        <v>72087.09</v>
      </c>
      <c r="Y220" s="2">
        <v>72087.09</v>
      </c>
      <c r="Z220" s="30">
        <v>0</v>
      </c>
      <c r="AA220" s="2">
        <f t="shared" si="106"/>
        <v>0</v>
      </c>
      <c r="AB220" s="30">
        <v>0</v>
      </c>
      <c r="AC220" s="30">
        <v>0</v>
      </c>
      <c r="AD220" s="16">
        <f t="shared" si="90"/>
        <v>3604354.6999999997</v>
      </c>
      <c r="AE220" s="35">
        <v>0</v>
      </c>
      <c r="AF220" s="2">
        <f t="shared" si="107"/>
        <v>3604354.6999999997</v>
      </c>
      <c r="AG220" s="38" t="s">
        <v>857</v>
      </c>
      <c r="AH220" s="73" t="s">
        <v>151</v>
      </c>
      <c r="AI220" s="30">
        <f>990540.15-36410.86+95571.03+687657.15+681657-58693.25</f>
        <v>2360321.2200000002</v>
      </c>
      <c r="AJ220" s="30">
        <f>96435.54+49490.11+14616.74+105171.09+49194.6+46082.21</f>
        <v>360990.29</v>
      </c>
    </row>
    <row r="221" spans="1:37" ht="156.75" customHeight="1" x14ac:dyDescent="0.25">
      <c r="A221" s="6">
        <v>218</v>
      </c>
      <c r="B221" s="31">
        <v>125603</v>
      </c>
      <c r="C221" s="11">
        <v>528</v>
      </c>
      <c r="D221" s="9" t="s">
        <v>1638</v>
      </c>
      <c r="E221" s="11" t="s">
        <v>899</v>
      </c>
      <c r="F221" s="11" t="s">
        <v>963</v>
      </c>
      <c r="G221" s="11" t="s">
        <v>1655</v>
      </c>
      <c r="H221" s="8" t="s">
        <v>151</v>
      </c>
      <c r="I221" s="32" t="s">
        <v>2718</v>
      </c>
      <c r="J221" s="25">
        <v>43486</v>
      </c>
      <c r="K221" s="25">
        <v>44582</v>
      </c>
      <c r="L221" s="26">
        <f t="shared" si="102"/>
        <v>85.000000127543871</v>
      </c>
      <c r="M221" s="11">
        <v>4</v>
      </c>
      <c r="N221" s="11" t="s">
        <v>231</v>
      </c>
      <c r="O221" s="40" t="s">
        <v>541</v>
      </c>
      <c r="P221" s="40" t="s">
        <v>174</v>
      </c>
      <c r="Q221" s="11" t="s">
        <v>34</v>
      </c>
      <c r="R221" s="2">
        <f t="shared" si="103"/>
        <v>2998968.16</v>
      </c>
      <c r="S221" s="57">
        <v>2998968.16</v>
      </c>
      <c r="T221" s="57">
        <v>0</v>
      </c>
      <c r="U221" s="1">
        <f t="shared" si="104"/>
        <v>458665.73</v>
      </c>
      <c r="V221" s="28">
        <v>458665.73</v>
      </c>
      <c r="W221" s="28">
        <v>0</v>
      </c>
      <c r="X221" s="1">
        <f t="shared" si="105"/>
        <v>70563.94</v>
      </c>
      <c r="Y221" s="2">
        <v>70563.94</v>
      </c>
      <c r="Z221" s="30">
        <v>0</v>
      </c>
      <c r="AA221" s="2">
        <f t="shared" si="106"/>
        <v>0</v>
      </c>
      <c r="AB221" s="30">
        <v>0</v>
      </c>
      <c r="AC221" s="30">
        <v>0</v>
      </c>
      <c r="AD221" s="16">
        <f t="shared" si="90"/>
        <v>3528197.83</v>
      </c>
      <c r="AE221" s="35">
        <v>0</v>
      </c>
      <c r="AF221" s="2">
        <f t="shared" si="107"/>
        <v>3528197.83</v>
      </c>
      <c r="AG221" s="38" t="s">
        <v>857</v>
      </c>
      <c r="AH221" s="73" t="s">
        <v>1753</v>
      </c>
      <c r="AI221" s="30">
        <f>222039.75+785175.49+192185+143650+334183.42</f>
        <v>1677233.66</v>
      </c>
      <c r="AJ221" s="30">
        <f>33959.02+120085.66+29393+21970+51110.4</f>
        <v>256518.08</v>
      </c>
    </row>
    <row r="222" spans="1:37" ht="156.75" customHeight="1" x14ac:dyDescent="0.25">
      <c r="A222" s="6">
        <v>219</v>
      </c>
      <c r="B222" s="31">
        <v>135509</v>
      </c>
      <c r="C222" s="11">
        <v>769</v>
      </c>
      <c r="D222" s="9" t="s">
        <v>1638</v>
      </c>
      <c r="E222" s="24" t="s">
        <v>1441</v>
      </c>
      <c r="F222" s="11" t="s">
        <v>1466</v>
      </c>
      <c r="G222" s="11" t="s">
        <v>908</v>
      </c>
      <c r="H222" s="8" t="s">
        <v>151</v>
      </c>
      <c r="I222" s="32" t="s">
        <v>1669</v>
      </c>
      <c r="J222" s="25">
        <v>43959</v>
      </c>
      <c r="K222" s="25">
        <v>44781</v>
      </c>
      <c r="L222" s="26">
        <f t="shared" si="102"/>
        <v>85.000001093049093</v>
      </c>
      <c r="M222" s="11">
        <v>4</v>
      </c>
      <c r="N222" s="11" t="s">
        <v>231</v>
      </c>
      <c r="O222" s="40" t="s">
        <v>541</v>
      </c>
      <c r="P222" s="40" t="s">
        <v>174</v>
      </c>
      <c r="Q222" s="11" t="s">
        <v>1450</v>
      </c>
      <c r="R222" s="2">
        <f t="shared" si="103"/>
        <v>777641.21</v>
      </c>
      <c r="S222" s="57">
        <v>777641.21</v>
      </c>
      <c r="T222" s="57">
        <v>0</v>
      </c>
      <c r="U222" s="1">
        <f t="shared" si="104"/>
        <v>118933.35</v>
      </c>
      <c r="V222" s="28">
        <v>118933.35</v>
      </c>
      <c r="W222" s="28">
        <v>0</v>
      </c>
      <c r="X222" s="1">
        <f t="shared" si="105"/>
        <v>18297.439999999999</v>
      </c>
      <c r="Y222" s="2">
        <v>18297.439999999999</v>
      </c>
      <c r="Z222" s="30">
        <v>0</v>
      </c>
      <c r="AA222" s="2">
        <f t="shared" si="106"/>
        <v>0</v>
      </c>
      <c r="AB222" s="30">
        <v>0</v>
      </c>
      <c r="AC222" s="30">
        <v>0</v>
      </c>
      <c r="AD222" s="16">
        <f t="shared" si="90"/>
        <v>914871.99999999988</v>
      </c>
      <c r="AE222" s="35">
        <v>0</v>
      </c>
      <c r="AF222" s="2">
        <f t="shared" si="107"/>
        <v>914871.99999999988</v>
      </c>
      <c r="AG222" s="38" t="s">
        <v>857</v>
      </c>
      <c r="AH222" s="73" t="s">
        <v>1755</v>
      </c>
      <c r="AI222" s="30">
        <f>13554.11+150600.21+142355.48+215854.1</f>
        <v>522363.9</v>
      </c>
      <c r="AJ222" s="30">
        <f>2072.97+23032.98+21772.01+33012.98</f>
        <v>79890.94</v>
      </c>
    </row>
    <row r="223" spans="1:37" ht="156.75" customHeight="1" x14ac:dyDescent="0.25">
      <c r="A223" s="6">
        <v>220</v>
      </c>
      <c r="B223" s="31">
        <v>151884</v>
      </c>
      <c r="C223" s="11">
        <v>1104</v>
      </c>
      <c r="D223" s="9" t="s">
        <v>1639</v>
      </c>
      <c r="E223" s="24" t="s">
        <v>1801</v>
      </c>
      <c r="F223" s="11" t="s">
        <v>1812</v>
      </c>
      <c r="G223" s="11" t="s">
        <v>908</v>
      </c>
      <c r="H223" s="8" t="s">
        <v>151</v>
      </c>
      <c r="I223" s="32" t="s">
        <v>2719</v>
      </c>
      <c r="J223" s="25">
        <v>44476</v>
      </c>
      <c r="K223" s="25">
        <v>44872</v>
      </c>
      <c r="L223" s="26">
        <f t="shared" si="102"/>
        <v>85</v>
      </c>
      <c r="M223" s="11">
        <v>4</v>
      </c>
      <c r="N223" s="11" t="s">
        <v>231</v>
      </c>
      <c r="O223" s="40" t="s">
        <v>541</v>
      </c>
      <c r="P223" s="40" t="s">
        <v>174</v>
      </c>
      <c r="Q223" s="11" t="s">
        <v>1450</v>
      </c>
      <c r="R223" s="2">
        <f t="shared" si="103"/>
        <v>283118.84999999998</v>
      </c>
      <c r="S223" s="57">
        <v>283118.84999999998</v>
      </c>
      <c r="T223" s="57">
        <v>0</v>
      </c>
      <c r="U223" s="1">
        <f t="shared" si="104"/>
        <v>43300.53</v>
      </c>
      <c r="V223" s="28">
        <v>43300.53</v>
      </c>
      <c r="W223" s="28">
        <v>0</v>
      </c>
      <c r="X223" s="1">
        <f t="shared" si="105"/>
        <v>6661.62</v>
      </c>
      <c r="Y223" s="2">
        <v>6661.62</v>
      </c>
      <c r="Z223" s="30">
        <v>0</v>
      </c>
      <c r="AA223" s="2">
        <f t="shared" si="106"/>
        <v>0</v>
      </c>
      <c r="AB223" s="30">
        <v>0</v>
      </c>
      <c r="AC223" s="30">
        <v>0</v>
      </c>
      <c r="AD223" s="16">
        <f t="shared" si="90"/>
        <v>333081</v>
      </c>
      <c r="AE223" s="35">
        <v>0</v>
      </c>
      <c r="AF223" s="2">
        <f t="shared" si="107"/>
        <v>333081</v>
      </c>
      <c r="AG223" s="38" t="s">
        <v>486</v>
      </c>
      <c r="AH223" s="73" t="s">
        <v>151</v>
      </c>
      <c r="AI223" s="30">
        <f>102768.4+40965.75+123403</f>
        <v>267137.15000000002</v>
      </c>
      <c r="AJ223" s="30">
        <f>15717.52+6265.35+18873.4</f>
        <v>40856.270000000004</v>
      </c>
    </row>
    <row r="224" spans="1:37" ht="141.75" x14ac:dyDescent="0.25">
      <c r="A224" s="6">
        <v>221</v>
      </c>
      <c r="B224" s="31">
        <v>111237</v>
      </c>
      <c r="C224" s="11">
        <v>124</v>
      </c>
      <c r="D224" s="9" t="s">
        <v>1638</v>
      </c>
      <c r="E224" s="24" t="s">
        <v>277</v>
      </c>
      <c r="F224" s="11" t="s">
        <v>433</v>
      </c>
      <c r="G224" s="11" t="s">
        <v>1254</v>
      </c>
      <c r="H224" s="8" t="s">
        <v>151</v>
      </c>
      <c r="I224" s="12" t="s">
        <v>434</v>
      </c>
      <c r="J224" s="25">
        <v>43145</v>
      </c>
      <c r="K224" s="25">
        <v>43783</v>
      </c>
      <c r="L224" s="26">
        <f t="shared" ref="L224:L233" si="108">R224/AD224*100</f>
        <v>85.000000000000014</v>
      </c>
      <c r="M224" s="11">
        <v>7</v>
      </c>
      <c r="N224" s="15" t="s">
        <v>222</v>
      </c>
      <c r="O224" s="11" t="s">
        <v>217</v>
      </c>
      <c r="P224" s="27" t="s">
        <v>174</v>
      </c>
      <c r="Q224" s="11" t="s">
        <v>34</v>
      </c>
      <c r="R224" s="105">
        <f t="shared" ref="R224:R233" si="109">S224+T224</f>
        <v>306686.8</v>
      </c>
      <c r="S224" s="57">
        <v>306686.8</v>
      </c>
      <c r="T224" s="106">
        <v>0</v>
      </c>
      <c r="U224" s="1">
        <f t="shared" si="104"/>
        <v>46905.04</v>
      </c>
      <c r="V224" s="28">
        <v>46905.04</v>
      </c>
      <c r="W224" s="28">
        <v>0</v>
      </c>
      <c r="X224" s="1">
        <f t="shared" si="105"/>
        <v>7216.16</v>
      </c>
      <c r="Y224" s="2">
        <v>7216.16</v>
      </c>
      <c r="Z224" s="2">
        <v>0</v>
      </c>
      <c r="AA224" s="2">
        <f t="shared" ref="AA224:AA233" si="110">AB224+AC224</f>
        <v>0</v>
      </c>
      <c r="AB224" s="2">
        <v>0</v>
      </c>
      <c r="AC224" s="2">
        <v>0</v>
      </c>
      <c r="AD224" s="16">
        <f t="shared" si="90"/>
        <v>360807.99999999994</v>
      </c>
      <c r="AE224" s="2">
        <v>0</v>
      </c>
      <c r="AF224" s="2">
        <f t="shared" ref="AF224:AF233" si="111">AD224+AE224</f>
        <v>360807.99999999994</v>
      </c>
      <c r="AG224" s="21" t="s">
        <v>857</v>
      </c>
      <c r="AH224" s="29" t="s">
        <v>1252</v>
      </c>
      <c r="AI224" s="30">
        <v>194851.21</v>
      </c>
      <c r="AJ224" s="30">
        <v>29800.81</v>
      </c>
      <c r="AK224" s="43"/>
    </row>
    <row r="225" spans="1:36" ht="259.5" customHeight="1" x14ac:dyDescent="0.25">
      <c r="A225" s="6">
        <v>222</v>
      </c>
      <c r="B225" s="31">
        <v>126548</v>
      </c>
      <c r="C225" s="11">
        <v>533</v>
      </c>
      <c r="D225" s="9" t="s">
        <v>1638</v>
      </c>
      <c r="E225" s="24" t="s">
        <v>899</v>
      </c>
      <c r="F225" s="11" t="s">
        <v>1054</v>
      </c>
      <c r="G225" s="11" t="s">
        <v>1055</v>
      </c>
      <c r="H225" s="8" t="s">
        <v>151</v>
      </c>
      <c r="I225" s="12" t="s">
        <v>2720</v>
      </c>
      <c r="J225" s="25">
        <v>43595</v>
      </c>
      <c r="K225" s="25">
        <v>44449</v>
      </c>
      <c r="L225" s="26">
        <f t="shared" si="108"/>
        <v>85.000007303770332</v>
      </c>
      <c r="M225" s="11">
        <v>7</v>
      </c>
      <c r="N225" s="15" t="s">
        <v>222</v>
      </c>
      <c r="O225" s="15" t="s">
        <v>222</v>
      </c>
      <c r="P225" s="27" t="s">
        <v>174</v>
      </c>
      <c r="Q225" s="11" t="s">
        <v>34</v>
      </c>
      <c r="R225" s="107">
        <f>S225+T225</f>
        <v>436418.46999999991</v>
      </c>
      <c r="S225" s="42">
        <v>436418.46999999991</v>
      </c>
      <c r="T225" s="42">
        <v>0</v>
      </c>
      <c r="U225" s="28">
        <f>V225+W225</f>
        <v>66746.31</v>
      </c>
      <c r="V225" s="42">
        <v>66746.31</v>
      </c>
      <c r="W225" s="42">
        <v>0</v>
      </c>
      <c r="X225" s="28">
        <f>Y225+Z225</f>
        <v>10268.67</v>
      </c>
      <c r="Y225" s="42">
        <v>10268.67</v>
      </c>
      <c r="Z225" s="42">
        <v>0</v>
      </c>
      <c r="AA225" s="28">
        <v>0</v>
      </c>
      <c r="AB225" s="28">
        <v>0</v>
      </c>
      <c r="AC225" s="28">
        <v>0</v>
      </c>
      <c r="AD225" s="16">
        <f t="shared" si="90"/>
        <v>513433.4499999999</v>
      </c>
      <c r="AE225" s="2">
        <v>0</v>
      </c>
      <c r="AF225" s="2">
        <v>513433.4499999999</v>
      </c>
      <c r="AG225" s="38" t="s">
        <v>857</v>
      </c>
      <c r="AH225" s="38" t="s">
        <v>1747</v>
      </c>
      <c r="AI225" s="30">
        <f>86309.8+49942.6+114116.43+135198.22</f>
        <v>385567.05</v>
      </c>
      <c r="AJ225" s="30">
        <f>13200.3+7638.28+17453.1+20677.36</f>
        <v>58969.039999999994</v>
      </c>
    </row>
    <row r="226" spans="1:36" ht="259.5" customHeight="1" x14ac:dyDescent="0.25">
      <c r="A226" s="6">
        <v>223</v>
      </c>
      <c r="B226" s="31">
        <v>128765</v>
      </c>
      <c r="C226" s="11">
        <v>633</v>
      </c>
      <c r="D226" s="9" t="s">
        <v>1638</v>
      </c>
      <c r="E226" s="24" t="s">
        <v>1071</v>
      </c>
      <c r="F226" s="11" t="s">
        <v>1136</v>
      </c>
      <c r="G226" s="11" t="s">
        <v>831</v>
      </c>
      <c r="H226" s="8" t="s">
        <v>151</v>
      </c>
      <c r="I226" s="12" t="s">
        <v>1255</v>
      </c>
      <c r="J226" s="25">
        <v>43647</v>
      </c>
      <c r="K226" s="25">
        <v>44501</v>
      </c>
      <c r="L226" s="26">
        <f t="shared" si="108"/>
        <v>85.000000191241938</v>
      </c>
      <c r="M226" s="11">
        <v>7</v>
      </c>
      <c r="N226" s="15" t="s">
        <v>222</v>
      </c>
      <c r="O226" s="15" t="s">
        <v>1137</v>
      </c>
      <c r="P226" s="27" t="s">
        <v>174</v>
      </c>
      <c r="Q226" s="11" t="s">
        <v>34</v>
      </c>
      <c r="R226" s="105">
        <f t="shared" si="109"/>
        <v>2222316.08</v>
      </c>
      <c r="S226" s="30">
        <v>2222316.08</v>
      </c>
      <c r="T226" s="36">
        <v>0</v>
      </c>
      <c r="U226" s="1">
        <f t="shared" si="104"/>
        <v>339883.63</v>
      </c>
      <c r="V226" s="55">
        <v>339883.63</v>
      </c>
      <c r="W226" s="55">
        <v>0</v>
      </c>
      <c r="X226" s="1">
        <f t="shared" si="105"/>
        <v>52289.79</v>
      </c>
      <c r="Y226" s="51">
        <v>52289.79</v>
      </c>
      <c r="Z226" s="51">
        <v>0</v>
      </c>
      <c r="AA226" s="2">
        <f t="shared" si="110"/>
        <v>0</v>
      </c>
      <c r="AB226" s="36">
        <v>0</v>
      </c>
      <c r="AC226" s="36">
        <v>0</v>
      </c>
      <c r="AD226" s="16">
        <f t="shared" si="90"/>
        <v>2614489.5</v>
      </c>
      <c r="AE226" s="2">
        <v>0</v>
      </c>
      <c r="AF226" s="2">
        <f t="shared" si="111"/>
        <v>2614489.5</v>
      </c>
      <c r="AG226" s="38" t="s">
        <v>857</v>
      </c>
      <c r="AH226" s="35"/>
      <c r="AI226" s="30">
        <f>57017.37+1947946.74+170802.16</f>
        <v>2175766.27</v>
      </c>
      <c r="AJ226" s="30">
        <f>8135.13+297921.27+26707.85</f>
        <v>332764.25</v>
      </c>
    </row>
    <row r="227" spans="1:36" ht="259.5" customHeight="1" x14ac:dyDescent="0.25">
      <c r="A227" s="6">
        <v>224</v>
      </c>
      <c r="B227" s="31">
        <v>129281</v>
      </c>
      <c r="C227" s="11">
        <v>658</v>
      </c>
      <c r="D227" s="9" t="s">
        <v>1638</v>
      </c>
      <c r="E227" s="24" t="s">
        <v>1071</v>
      </c>
      <c r="F227" s="11" t="s">
        <v>1253</v>
      </c>
      <c r="G227" s="11" t="s">
        <v>1254</v>
      </c>
      <c r="H227" s="8" t="s">
        <v>151</v>
      </c>
      <c r="I227" s="12" t="s">
        <v>2721</v>
      </c>
      <c r="J227" s="25">
        <v>43710</v>
      </c>
      <c r="K227" s="25">
        <v>44532</v>
      </c>
      <c r="L227" s="26">
        <f t="shared" si="108"/>
        <v>85.000000187352825</v>
      </c>
      <c r="M227" s="11">
        <v>7</v>
      </c>
      <c r="N227" s="15" t="s">
        <v>222</v>
      </c>
      <c r="O227" s="15" t="s">
        <v>217</v>
      </c>
      <c r="P227" s="27" t="s">
        <v>174</v>
      </c>
      <c r="Q227" s="11" t="s">
        <v>34</v>
      </c>
      <c r="R227" s="105">
        <f t="shared" si="109"/>
        <v>2495291.94</v>
      </c>
      <c r="S227" s="30">
        <v>2495291.94</v>
      </c>
      <c r="T227" s="36">
        <v>0</v>
      </c>
      <c r="U227" s="1">
        <f t="shared" si="104"/>
        <v>381632.89</v>
      </c>
      <c r="V227" s="55">
        <v>381632.89</v>
      </c>
      <c r="W227" s="55">
        <v>0</v>
      </c>
      <c r="X227" s="1">
        <f t="shared" si="105"/>
        <v>58712.74</v>
      </c>
      <c r="Y227" s="51">
        <v>58712.74</v>
      </c>
      <c r="Z227" s="51">
        <v>0</v>
      </c>
      <c r="AA227" s="2">
        <f t="shared" si="110"/>
        <v>0</v>
      </c>
      <c r="AB227" s="36">
        <v>0</v>
      </c>
      <c r="AC227" s="36">
        <v>0</v>
      </c>
      <c r="AD227" s="16">
        <f t="shared" si="90"/>
        <v>2935637.5700000003</v>
      </c>
      <c r="AE227" s="2">
        <v>0</v>
      </c>
      <c r="AF227" s="2">
        <f t="shared" si="111"/>
        <v>2935637.5700000003</v>
      </c>
      <c r="AG227" s="38" t="s">
        <v>857</v>
      </c>
      <c r="AH227" s="35"/>
      <c r="AI227" s="30">
        <v>505.75</v>
      </c>
      <c r="AJ227" s="30">
        <v>77.349999999999994</v>
      </c>
    </row>
    <row r="228" spans="1:36" ht="187.5" customHeight="1" x14ac:dyDescent="0.25">
      <c r="A228" s="6">
        <v>225</v>
      </c>
      <c r="B228" s="31">
        <v>135297</v>
      </c>
      <c r="C228" s="11">
        <v>797</v>
      </c>
      <c r="D228" s="9" t="s">
        <v>1638</v>
      </c>
      <c r="E228" s="24" t="s">
        <v>1441</v>
      </c>
      <c r="F228" s="11" t="s">
        <v>1519</v>
      </c>
      <c r="G228" s="11" t="s">
        <v>1520</v>
      </c>
      <c r="H228" s="8" t="s">
        <v>151</v>
      </c>
      <c r="I228" s="12" t="s">
        <v>2722</v>
      </c>
      <c r="J228" s="25">
        <v>43987</v>
      </c>
      <c r="K228" s="25">
        <v>45265</v>
      </c>
      <c r="L228" s="26">
        <f t="shared" si="108"/>
        <v>85.000000104918257</v>
      </c>
      <c r="M228" s="11">
        <v>7</v>
      </c>
      <c r="N228" s="15" t="s">
        <v>222</v>
      </c>
      <c r="O228" s="15" t="s">
        <v>1521</v>
      </c>
      <c r="P228" s="27" t="s">
        <v>174</v>
      </c>
      <c r="Q228" s="11" t="s">
        <v>34</v>
      </c>
      <c r="R228" s="105">
        <f t="shared" si="109"/>
        <v>2430463.5</v>
      </c>
      <c r="S228" s="30">
        <v>2430463.5</v>
      </c>
      <c r="T228" s="36">
        <v>0</v>
      </c>
      <c r="U228" s="1">
        <f t="shared" si="104"/>
        <v>371717.94</v>
      </c>
      <c r="V228" s="55">
        <v>371717.94</v>
      </c>
      <c r="W228" s="55">
        <v>0</v>
      </c>
      <c r="X228" s="1">
        <f t="shared" si="105"/>
        <v>57187.38</v>
      </c>
      <c r="Y228" s="51">
        <v>57187.38</v>
      </c>
      <c r="Z228" s="51">
        <v>0</v>
      </c>
      <c r="AA228" s="2">
        <f t="shared" si="110"/>
        <v>0</v>
      </c>
      <c r="AB228" s="55">
        <v>0</v>
      </c>
      <c r="AC228" s="55">
        <v>0</v>
      </c>
      <c r="AD228" s="16">
        <f t="shared" si="90"/>
        <v>2859368.82</v>
      </c>
      <c r="AE228" s="2">
        <v>0</v>
      </c>
      <c r="AF228" s="2">
        <f t="shared" si="111"/>
        <v>2859368.82</v>
      </c>
      <c r="AG228" s="38" t="s">
        <v>486</v>
      </c>
      <c r="AH228" s="38" t="s">
        <v>2540</v>
      </c>
      <c r="AI228" s="30">
        <v>0</v>
      </c>
      <c r="AJ228" s="30">
        <v>0</v>
      </c>
    </row>
    <row r="229" spans="1:36" ht="187.5" customHeight="1" x14ac:dyDescent="0.25">
      <c r="A229" s="6">
        <v>226</v>
      </c>
      <c r="B229" s="31">
        <v>151800</v>
      </c>
      <c r="C229" s="11">
        <v>1105</v>
      </c>
      <c r="D229" s="9" t="s">
        <v>1639</v>
      </c>
      <c r="E229" s="24" t="s">
        <v>1801</v>
      </c>
      <c r="F229" s="11" t="s">
        <v>1843</v>
      </c>
      <c r="G229" s="11" t="s">
        <v>1842</v>
      </c>
      <c r="H229" s="8" t="s">
        <v>151</v>
      </c>
      <c r="I229" s="12" t="s">
        <v>2723</v>
      </c>
      <c r="J229" s="25">
        <v>44498</v>
      </c>
      <c r="K229" s="108">
        <v>44985</v>
      </c>
      <c r="L229" s="26">
        <f t="shared" si="108"/>
        <v>85</v>
      </c>
      <c r="M229" s="11">
        <v>7</v>
      </c>
      <c r="N229" s="15" t="s">
        <v>222</v>
      </c>
      <c r="O229" s="15" t="s">
        <v>1844</v>
      </c>
      <c r="P229" s="27" t="s">
        <v>174</v>
      </c>
      <c r="Q229" s="11" t="s">
        <v>34</v>
      </c>
      <c r="R229" s="105">
        <f t="shared" si="109"/>
        <v>290246.09999999998</v>
      </c>
      <c r="S229" s="30">
        <v>290246.09999999998</v>
      </c>
      <c r="T229" s="36">
        <v>0</v>
      </c>
      <c r="U229" s="1">
        <f t="shared" si="104"/>
        <v>44390.58</v>
      </c>
      <c r="V229" s="55">
        <v>44390.58</v>
      </c>
      <c r="W229" s="55">
        <v>0</v>
      </c>
      <c r="X229" s="1">
        <f t="shared" si="105"/>
        <v>6829.32</v>
      </c>
      <c r="Y229" s="51">
        <v>6829.32</v>
      </c>
      <c r="Z229" s="51">
        <v>0</v>
      </c>
      <c r="AA229" s="2">
        <f t="shared" si="110"/>
        <v>0</v>
      </c>
      <c r="AB229" s="55">
        <v>0</v>
      </c>
      <c r="AC229" s="55">
        <v>0</v>
      </c>
      <c r="AD229" s="16">
        <f t="shared" si="90"/>
        <v>341466</v>
      </c>
      <c r="AE229" s="2">
        <v>0</v>
      </c>
      <c r="AF229" s="2">
        <f t="shared" si="111"/>
        <v>341466</v>
      </c>
      <c r="AG229" s="38" t="s">
        <v>486</v>
      </c>
      <c r="AH229" s="35"/>
      <c r="AI229" s="30">
        <v>22289.85</v>
      </c>
      <c r="AJ229" s="30">
        <v>3409.04</v>
      </c>
    </row>
    <row r="230" spans="1:36" ht="187.5" customHeight="1" x14ac:dyDescent="0.25">
      <c r="A230" s="6">
        <v>227</v>
      </c>
      <c r="B230" s="31">
        <v>152128</v>
      </c>
      <c r="C230" s="11">
        <v>1134</v>
      </c>
      <c r="D230" s="9" t="s">
        <v>1639</v>
      </c>
      <c r="E230" s="24" t="s">
        <v>1801</v>
      </c>
      <c r="F230" s="11" t="s">
        <v>1873</v>
      </c>
      <c r="G230" s="11" t="s">
        <v>831</v>
      </c>
      <c r="H230" s="8" t="s">
        <v>151</v>
      </c>
      <c r="I230" s="12" t="s">
        <v>1874</v>
      </c>
      <c r="J230" s="25">
        <v>44518</v>
      </c>
      <c r="K230" s="25">
        <v>45003</v>
      </c>
      <c r="L230" s="26">
        <f t="shared" si="108"/>
        <v>85</v>
      </c>
      <c r="M230" s="11">
        <v>7</v>
      </c>
      <c r="N230" s="15" t="s">
        <v>222</v>
      </c>
      <c r="O230" s="15" t="s">
        <v>1137</v>
      </c>
      <c r="P230" s="27" t="s">
        <v>174</v>
      </c>
      <c r="Q230" s="11" t="s">
        <v>34</v>
      </c>
      <c r="R230" s="105">
        <f t="shared" si="109"/>
        <v>352642.05</v>
      </c>
      <c r="S230" s="30">
        <v>352642.05</v>
      </c>
      <c r="T230" s="36">
        <v>0</v>
      </c>
      <c r="U230" s="1">
        <f t="shared" si="104"/>
        <v>53933.49</v>
      </c>
      <c r="V230" s="55">
        <v>53933.49</v>
      </c>
      <c r="W230" s="55">
        <v>0</v>
      </c>
      <c r="X230" s="1">
        <f t="shared" si="105"/>
        <v>8297.4599999999991</v>
      </c>
      <c r="Y230" s="51">
        <v>8297.4599999999991</v>
      </c>
      <c r="Z230" s="51">
        <v>0</v>
      </c>
      <c r="AA230" s="2">
        <f t="shared" si="110"/>
        <v>0</v>
      </c>
      <c r="AB230" s="55">
        <v>0</v>
      </c>
      <c r="AC230" s="55">
        <v>0</v>
      </c>
      <c r="AD230" s="16">
        <f t="shared" si="90"/>
        <v>414873</v>
      </c>
      <c r="AE230" s="2">
        <v>0</v>
      </c>
      <c r="AF230" s="2">
        <f t="shared" si="111"/>
        <v>414873</v>
      </c>
      <c r="AG230" s="38" t="s">
        <v>486</v>
      </c>
      <c r="AH230" s="35"/>
      <c r="AI230" s="30">
        <f>34910.1+95716.4</f>
        <v>130626.5</v>
      </c>
      <c r="AJ230" s="30">
        <f>5339.19+14638.98</f>
        <v>19978.169999999998</v>
      </c>
    </row>
    <row r="231" spans="1:36" ht="187.5" customHeight="1" x14ac:dyDescent="0.25">
      <c r="A231" s="6">
        <v>228</v>
      </c>
      <c r="B231" s="31">
        <v>153917</v>
      </c>
      <c r="C231" s="11">
        <v>1197</v>
      </c>
      <c r="D231" s="9" t="s">
        <v>1638</v>
      </c>
      <c r="E231" s="24" t="s">
        <v>2012</v>
      </c>
      <c r="F231" s="11" t="s">
        <v>2078</v>
      </c>
      <c r="G231" s="11" t="s">
        <v>1842</v>
      </c>
      <c r="H231" s="8" t="s">
        <v>151</v>
      </c>
      <c r="I231" s="12" t="s">
        <v>2724</v>
      </c>
      <c r="J231" s="25">
        <v>44655</v>
      </c>
      <c r="K231" s="25">
        <v>45264</v>
      </c>
      <c r="L231" s="26">
        <f t="shared" si="108"/>
        <v>85</v>
      </c>
      <c r="M231" s="11">
        <v>7</v>
      </c>
      <c r="N231" s="15" t="s">
        <v>222</v>
      </c>
      <c r="O231" s="15" t="s">
        <v>1844</v>
      </c>
      <c r="P231" s="27" t="s">
        <v>174</v>
      </c>
      <c r="Q231" s="11" t="s">
        <v>34</v>
      </c>
      <c r="R231" s="105">
        <f t="shared" si="109"/>
        <v>2460451.65</v>
      </c>
      <c r="S231" s="30">
        <v>2460451.65</v>
      </c>
      <c r="T231" s="36">
        <v>0</v>
      </c>
      <c r="U231" s="1">
        <f t="shared" si="104"/>
        <v>376304.37</v>
      </c>
      <c r="V231" s="55">
        <v>376304.37</v>
      </c>
      <c r="W231" s="55">
        <v>0</v>
      </c>
      <c r="X231" s="1">
        <f t="shared" si="105"/>
        <v>57892.98</v>
      </c>
      <c r="Y231" s="51">
        <v>57892.98</v>
      </c>
      <c r="Z231" s="51">
        <v>0</v>
      </c>
      <c r="AA231" s="2">
        <f t="shared" si="110"/>
        <v>0</v>
      </c>
      <c r="AB231" s="55">
        <v>0</v>
      </c>
      <c r="AC231" s="55">
        <v>0</v>
      </c>
      <c r="AD231" s="16">
        <f t="shared" si="90"/>
        <v>2894649</v>
      </c>
      <c r="AE231" s="2">
        <v>0</v>
      </c>
      <c r="AF231" s="2">
        <f t="shared" si="111"/>
        <v>2894649</v>
      </c>
      <c r="AG231" s="38" t="s">
        <v>486</v>
      </c>
      <c r="AH231" s="38" t="s">
        <v>3285</v>
      </c>
      <c r="AI231" s="30">
        <v>289464.90000000002</v>
      </c>
      <c r="AJ231" s="30">
        <v>0</v>
      </c>
    </row>
    <row r="232" spans="1:36" ht="187.5" customHeight="1" x14ac:dyDescent="0.25">
      <c r="A232" s="6">
        <v>229</v>
      </c>
      <c r="B232" s="31">
        <v>154959</v>
      </c>
      <c r="C232" s="11">
        <v>1227</v>
      </c>
      <c r="D232" s="9" t="s">
        <v>1638</v>
      </c>
      <c r="E232" s="24" t="s">
        <v>2012</v>
      </c>
      <c r="F232" s="11" t="s">
        <v>2184</v>
      </c>
      <c r="G232" s="11" t="s">
        <v>831</v>
      </c>
      <c r="H232" s="8" t="s">
        <v>151</v>
      </c>
      <c r="I232" s="12" t="s">
        <v>2725</v>
      </c>
      <c r="J232" s="25">
        <v>44656</v>
      </c>
      <c r="K232" s="25">
        <v>45174</v>
      </c>
      <c r="L232" s="26">
        <f t="shared" si="108"/>
        <v>85</v>
      </c>
      <c r="M232" s="11">
        <v>7</v>
      </c>
      <c r="N232" s="15" t="s">
        <v>222</v>
      </c>
      <c r="O232" s="15" t="s">
        <v>1137</v>
      </c>
      <c r="P232" s="27" t="s">
        <v>174</v>
      </c>
      <c r="Q232" s="11" t="s">
        <v>34</v>
      </c>
      <c r="R232" s="105">
        <f t="shared" si="109"/>
        <v>3255721</v>
      </c>
      <c r="S232" s="30">
        <v>3255721</v>
      </c>
      <c r="T232" s="36">
        <v>0</v>
      </c>
      <c r="U232" s="1">
        <f t="shared" si="104"/>
        <v>497933.8</v>
      </c>
      <c r="V232" s="42">
        <v>497933.8</v>
      </c>
      <c r="W232" s="42">
        <v>0</v>
      </c>
      <c r="X232" s="1">
        <f t="shared" si="105"/>
        <v>76605.2</v>
      </c>
      <c r="Y232" s="30">
        <v>76605.2</v>
      </c>
      <c r="Z232" s="30">
        <v>0</v>
      </c>
      <c r="AA232" s="2">
        <f t="shared" si="110"/>
        <v>0</v>
      </c>
      <c r="AB232" s="42">
        <v>0</v>
      </c>
      <c r="AC232" s="42">
        <v>0</v>
      </c>
      <c r="AD232" s="16">
        <f t="shared" si="90"/>
        <v>3830260</v>
      </c>
      <c r="AE232" s="2">
        <v>0</v>
      </c>
      <c r="AF232" s="2">
        <f t="shared" si="111"/>
        <v>3830260</v>
      </c>
      <c r="AG232" s="38" t="s">
        <v>486</v>
      </c>
      <c r="AH232" s="35"/>
      <c r="AI232" s="30">
        <v>279800</v>
      </c>
      <c r="AJ232" s="30">
        <v>0</v>
      </c>
    </row>
    <row r="233" spans="1:36" ht="137.25" customHeight="1" x14ac:dyDescent="0.25">
      <c r="A233" s="6">
        <v>230</v>
      </c>
      <c r="B233" s="31">
        <v>155171</v>
      </c>
      <c r="C233" s="11">
        <v>1236</v>
      </c>
      <c r="D233" s="9" t="s">
        <v>1638</v>
      </c>
      <c r="E233" s="24" t="s">
        <v>2012</v>
      </c>
      <c r="F233" s="11" t="s">
        <v>2243</v>
      </c>
      <c r="G233" s="11" t="s">
        <v>1055</v>
      </c>
      <c r="H233" s="8" t="s">
        <v>151</v>
      </c>
      <c r="I233" s="12" t="s">
        <v>2726</v>
      </c>
      <c r="J233" s="25">
        <v>44715</v>
      </c>
      <c r="K233" s="25">
        <v>45202</v>
      </c>
      <c r="L233" s="26">
        <f t="shared" si="108"/>
        <v>85</v>
      </c>
      <c r="M233" s="11">
        <v>7</v>
      </c>
      <c r="N233" s="15" t="s">
        <v>222</v>
      </c>
      <c r="O233" s="15" t="s">
        <v>1844</v>
      </c>
      <c r="P233" s="27" t="s">
        <v>174</v>
      </c>
      <c r="Q233" s="11" t="s">
        <v>34</v>
      </c>
      <c r="R233" s="105">
        <f t="shared" si="109"/>
        <v>2539016.2999999998</v>
      </c>
      <c r="S233" s="30">
        <v>2539016.2999999998</v>
      </c>
      <c r="T233" s="41">
        <v>0</v>
      </c>
      <c r="U233" s="1">
        <f t="shared" si="104"/>
        <v>388320.14</v>
      </c>
      <c r="V233" s="42">
        <v>388320.14</v>
      </c>
      <c r="W233" s="42">
        <v>0</v>
      </c>
      <c r="X233" s="1">
        <f t="shared" si="105"/>
        <v>59741.56</v>
      </c>
      <c r="Y233" s="30">
        <v>59741.56</v>
      </c>
      <c r="Z233" s="30">
        <v>0</v>
      </c>
      <c r="AA233" s="2">
        <f t="shared" si="110"/>
        <v>0</v>
      </c>
      <c r="AB233" s="42">
        <v>0</v>
      </c>
      <c r="AC233" s="42">
        <v>0</v>
      </c>
      <c r="AD233" s="16">
        <f t="shared" si="90"/>
        <v>2987078</v>
      </c>
      <c r="AE233" s="2">
        <v>0</v>
      </c>
      <c r="AF233" s="2">
        <f t="shared" si="111"/>
        <v>2987078</v>
      </c>
      <c r="AG233" s="38" t="s">
        <v>486</v>
      </c>
      <c r="AH233" s="35"/>
      <c r="AI233" s="30">
        <v>0</v>
      </c>
      <c r="AJ233" s="30">
        <v>0</v>
      </c>
    </row>
    <row r="234" spans="1:36" ht="173.25" x14ac:dyDescent="0.25">
      <c r="A234" s="6">
        <v>231</v>
      </c>
      <c r="B234" s="31">
        <v>120617</v>
      </c>
      <c r="C234" s="11">
        <v>79</v>
      </c>
      <c r="D234" s="9" t="s">
        <v>1638</v>
      </c>
      <c r="E234" s="24" t="s">
        <v>277</v>
      </c>
      <c r="F234" s="27" t="s">
        <v>210</v>
      </c>
      <c r="G234" s="31" t="s">
        <v>211</v>
      </c>
      <c r="H234" s="8" t="s">
        <v>151</v>
      </c>
      <c r="I234" s="12" t="s">
        <v>214</v>
      </c>
      <c r="J234" s="25">
        <v>43145</v>
      </c>
      <c r="K234" s="25">
        <v>43630</v>
      </c>
      <c r="L234" s="26">
        <f t="shared" ref="L234:L249" si="112">R234/AD234*100</f>
        <v>84.999999644441075</v>
      </c>
      <c r="M234" s="11">
        <v>5</v>
      </c>
      <c r="N234" s="11" t="s">
        <v>220</v>
      </c>
      <c r="O234" s="11" t="s">
        <v>215</v>
      </c>
      <c r="P234" s="27" t="s">
        <v>174</v>
      </c>
      <c r="Q234" s="11" t="s">
        <v>34</v>
      </c>
      <c r="R234" s="2">
        <f>S234+T234</f>
        <v>358590.34</v>
      </c>
      <c r="S234" s="57">
        <v>358590.34</v>
      </c>
      <c r="T234" s="2">
        <v>0</v>
      </c>
      <c r="U234" s="1">
        <f t="shared" ref="U234:U256" si="113">V234+W234</f>
        <v>54843.23</v>
      </c>
      <c r="V234" s="87">
        <v>54843.23</v>
      </c>
      <c r="W234" s="28">
        <v>0</v>
      </c>
      <c r="X234" s="1">
        <f t="shared" ref="X234:X256" si="114">Y234+Z234</f>
        <v>8437.42</v>
      </c>
      <c r="Y234" s="57">
        <v>8437.42</v>
      </c>
      <c r="Z234" s="1">
        <v>0</v>
      </c>
      <c r="AA234" s="2">
        <f t="shared" ref="AA234:AA256" si="115">AB234+AC234</f>
        <v>0</v>
      </c>
      <c r="AB234" s="2">
        <v>0</v>
      </c>
      <c r="AC234" s="2">
        <v>0</v>
      </c>
      <c r="AD234" s="16">
        <f t="shared" si="90"/>
        <v>421870.99</v>
      </c>
      <c r="AE234" s="2">
        <v>0</v>
      </c>
      <c r="AF234" s="2">
        <f t="shared" ref="AF234:AF256" si="116">AD234+AE234</f>
        <v>421870.99</v>
      </c>
      <c r="AG234" s="21" t="s">
        <v>857</v>
      </c>
      <c r="AH234" s="29" t="s">
        <v>151</v>
      </c>
      <c r="AI234" s="30">
        <v>257973.22999999998</v>
      </c>
      <c r="AJ234" s="30">
        <v>39454.700000000004</v>
      </c>
    </row>
    <row r="235" spans="1:36" ht="141.75" x14ac:dyDescent="0.25">
      <c r="A235" s="6">
        <v>232</v>
      </c>
      <c r="B235" s="31">
        <v>118193</v>
      </c>
      <c r="C235" s="11">
        <v>424</v>
      </c>
      <c r="D235" s="32" t="s">
        <v>1639</v>
      </c>
      <c r="E235" s="24" t="s">
        <v>507</v>
      </c>
      <c r="F235" s="27" t="s">
        <v>590</v>
      </c>
      <c r="G235" s="31" t="s">
        <v>591</v>
      </c>
      <c r="H235" s="8" t="s">
        <v>151</v>
      </c>
      <c r="I235" s="32" t="s">
        <v>646</v>
      </c>
      <c r="J235" s="25">
        <v>43285</v>
      </c>
      <c r="K235" s="25">
        <v>43773</v>
      </c>
      <c r="L235" s="26">
        <f t="shared" si="112"/>
        <v>85.000000000000014</v>
      </c>
      <c r="M235" s="40">
        <v>5</v>
      </c>
      <c r="N235" s="11" t="s">
        <v>592</v>
      </c>
      <c r="O235" s="11" t="s">
        <v>593</v>
      </c>
      <c r="P235" s="11" t="s">
        <v>174</v>
      </c>
      <c r="Q235" s="11" t="s">
        <v>34</v>
      </c>
      <c r="R235" s="2">
        <v>239111.8</v>
      </c>
      <c r="S235" s="41">
        <v>239111.8</v>
      </c>
      <c r="T235" s="36">
        <v>0</v>
      </c>
      <c r="U235" s="1">
        <f t="shared" si="113"/>
        <v>36570.04</v>
      </c>
      <c r="V235" s="42">
        <v>36570.04</v>
      </c>
      <c r="W235" s="55"/>
      <c r="X235" s="1">
        <f t="shared" si="114"/>
        <v>5626.16</v>
      </c>
      <c r="Y235" s="30">
        <v>5626.16</v>
      </c>
      <c r="Z235" s="51">
        <v>0</v>
      </c>
      <c r="AA235" s="2">
        <f t="shared" si="115"/>
        <v>0</v>
      </c>
      <c r="AB235" s="2">
        <v>0</v>
      </c>
      <c r="AC235" s="2">
        <v>0</v>
      </c>
      <c r="AD235" s="16">
        <f t="shared" si="90"/>
        <v>281307.99999999994</v>
      </c>
      <c r="AE235" s="35"/>
      <c r="AF235" s="2">
        <f t="shared" si="116"/>
        <v>281307.99999999994</v>
      </c>
      <c r="AG235" s="21" t="s">
        <v>857</v>
      </c>
      <c r="AH235" s="35"/>
      <c r="AI235" s="30">
        <f>185666.26</f>
        <v>185666.26</v>
      </c>
      <c r="AJ235" s="30">
        <v>28396.000000000004</v>
      </c>
    </row>
    <row r="236" spans="1:36" ht="204.75" x14ac:dyDescent="0.25">
      <c r="A236" s="6">
        <v>233</v>
      </c>
      <c r="B236" s="31">
        <v>117483</v>
      </c>
      <c r="C236" s="31">
        <v>412</v>
      </c>
      <c r="D236" s="32" t="s">
        <v>1639</v>
      </c>
      <c r="E236" s="24" t="s">
        <v>507</v>
      </c>
      <c r="F236" s="27" t="s">
        <v>701</v>
      </c>
      <c r="G236" s="70" t="s">
        <v>211</v>
      </c>
      <c r="H236" s="8" t="s">
        <v>151</v>
      </c>
      <c r="I236" s="32" t="s">
        <v>702</v>
      </c>
      <c r="J236" s="25">
        <v>43314</v>
      </c>
      <c r="K236" s="25">
        <v>43679</v>
      </c>
      <c r="L236" s="26">
        <f t="shared" si="112"/>
        <v>85.000000000000014</v>
      </c>
      <c r="M236" s="40">
        <v>5</v>
      </c>
      <c r="N236" s="11" t="s">
        <v>592</v>
      </c>
      <c r="O236" s="11" t="s">
        <v>215</v>
      </c>
      <c r="P236" s="27" t="s">
        <v>174</v>
      </c>
      <c r="Q236" s="11" t="s">
        <v>34</v>
      </c>
      <c r="R236" s="2">
        <v>242732.46</v>
      </c>
      <c r="S236" s="39">
        <f>R236</f>
        <v>242732.46</v>
      </c>
      <c r="T236" s="2">
        <v>0</v>
      </c>
      <c r="U236" s="1">
        <f t="shared" si="113"/>
        <v>37123.78</v>
      </c>
      <c r="V236" s="52">
        <v>37123.78</v>
      </c>
      <c r="W236" s="28">
        <v>0</v>
      </c>
      <c r="X236" s="1">
        <f t="shared" si="114"/>
        <v>5711.36</v>
      </c>
      <c r="Y236" s="39">
        <v>5711.36</v>
      </c>
      <c r="Z236" s="1">
        <v>0</v>
      </c>
      <c r="AA236" s="2">
        <f t="shared" si="115"/>
        <v>0</v>
      </c>
      <c r="AB236" s="2">
        <v>0</v>
      </c>
      <c r="AC236" s="2">
        <v>0</v>
      </c>
      <c r="AD236" s="16">
        <f t="shared" si="90"/>
        <v>285567.59999999998</v>
      </c>
      <c r="AE236" s="2">
        <v>0</v>
      </c>
      <c r="AF236" s="2">
        <f t="shared" si="116"/>
        <v>285567.59999999998</v>
      </c>
      <c r="AG236" s="21" t="s">
        <v>857</v>
      </c>
      <c r="AH236" s="29" t="s">
        <v>151</v>
      </c>
      <c r="AI236" s="30">
        <v>231572.1</v>
      </c>
      <c r="AJ236" s="30">
        <v>35416.890000000014</v>
      </c>
    </row>
    <row r="237" spans="1:36" ht="141.75" x14ac:dyDescent="0.25">
      <c r="A237" s="6">
        <v>234</v>
      </c>
      <c r="B237" s="31">
        <v>126237</v>
      </c>
      <c r="C237" s="11">
        <v>529</v>
      </c>
      <c r="D237" s="9" t="s">
        <v>1638</v>
      </c>
      <c r="E237" s="11" t="s">
        <v>899</v>
      </c>
      <c r="F237" s="11" t="s">
        <v>942</v>
      </c>
      <c r="G237" s="11" t="s">
        <v>930</v>
      </c>
      <c r="H237" s="8" t="s">
        <v>151</v>
      </c>
      <c r="I237" s="46" t="s">
        <v>2727</v>
      </c>
      <c r="J237" s="25">
        <v>43446</v>
      </c>
      <c r="K237" s="25">
        <v>44177</v>
      </c>
      <c r="L237" s="26">
        <f t="shared" si="112"/>
        <v>85.000000000000014</v>
      </c>
      <c r="M237" s="11">
        <v>5</v>
      </c>
      <c r="N237" s="11" t="s">
        <v>592</v>
      </c>
      <c r="O237" s="11" t="s">
        <v>592</v>
      </c>
      <c r="P237" s="27" t="s">
        <v>174</v>
      </c>
      <c r="Q237" s="11" t="s">
        <v>34</v>
      </c>
      <c r="R237" s="2">
        <f t="shared" ref="R237:R249" si="117">S237+T237</f>
        <v>2072800.65</v>
      </c>
      <c r="S237" s="57">
        <v>2072800.65</v>
      </c>
      <c r="T237" s="2">
        <v>0</v>
      </c>
      <c r="U237" s="1">
        <f t="shared" si="113"/>
        <v>317016.56999999995</v>
      </c>
      <c r="V237" s="28">
        <v>317016.56999999995</v>
      </c>
      <c r="W237" s="28">
        <v>0</v>
      </c>
      <c r="X237" s="1">
        <f t="shared" si="114"/>
        <v>48771.78</v>
      </c>
      <c r="Y237" s="2">
        <v>48771.78</v>
      </c>
      <c r="Z237" s="2">
        <v>0</v>
      </c>
      <c r="AA237" s="2">
        <f t="shared" si="115"/>
        <v>0</v>
      </c>
      <c r="AB237" s="2">
        <v>0</v>
      </c>
      <c r="AC237" s="2">
        <v>0</v>
      </c>
      <c r="AD237" s="16">
        <f t="shared" si="90"/>
        <v>2438588.9999999995</v>
      </c>
      <c r="AE237" s="2">
        <v>0</v>
      </c>
      <c r="AF237" s="2">
        <f t="shared" si="116"/>
        <v>2438588.9999999995</v>
      </c>
      <c r="AG237" s="38" t="s">
        <v>857</v>
      </c>
      <c r="AH237" s="29" t="s">
        <v>151</v>
      </c>
      <c r="AI237" s="30">
        <f>1135968.56+22786.8+371374.35+170009.35</f>
        <v>1700139.06</v>
      </c>
      <c r="AJ237" s="30">
        <f>173736.37+3485.04+56798.43+26001.43</f>
        <v>260021.27</v>
      </c>
    </row>
    <row r="238" spans="1:36" ht="156" customHeight="1" x14ac:dyDescent="0.25">
      <c r="A238" s="6">
        <v>235</v>
      </c>
      <c r="B238" s="31">
        <v>126422</v>
      </c>
      <c r="C238" s="11">
        <v>536</v>
      </c>
      <c r="D238" s="9" t="s">
        <v>1638</v>
      </c>
      <c r="E238" s="11" t="s">
        <v>899</v>
      </c>
      <c r="F238" s="11" t="s">
        <v>1034</v>
      </c>
      <c r="G238" s="15" t="s">
        <v>591</v>
      </c>
      <c r="H238" s="27" t="s">
        <v>1035</v>
      </c>
      <c r="I238" s="46" t="s">
        <v>2728</v>
      </c>
      <c r="J238" s="25">
        <v>43556</v>
      </c>
      <c r="K238" s="25">
        <v>44652</v>
      </c>
      <c r="L238" s="26">
        <f t="shared" si="112"/>
        <v>84.449828692364051</v>
      </c>
      <c r="M238" s="11">
        <v>5</v>
      </c>
      <c r="N238" s="11" t="s">
        <v>592</v>
      </c>
      <c r="O238" s="40" t="s">
        <v>593</v>
      </c>
      <c r="P238" s="27" t="s">
        <v>174</v>
      </c>
      <c r="Q238" s="11" t="s">
        <v>34</v>
      </c>
      <c r="R238" s="2">
        <f t="shared" si="117"/>
        <v>3195443.02</v>
      </c>
      <c r="S238" s="30">
        <v>3195443.02</v>
      </c>
      <c r="T238" s="30">
        <v>0</v>
      </c>
      <c r="U238" s="1">
        <f t="shared" si="113"/>
        <v>512716.26</v>
      </c>
      <c r="V238" s="42">
        <v>512716.26</v>
      </c>
      <c r="W238" s="28">
        <v>0</v>
      </c>
      <c r="X238" s="1">
        <f t="shared" si="114"/>
        <v>51185.440000000002</v>
      </c>
      <c r="Y238" s="30">
        <v>51185.440000000002</v>
      </c>
      <c r="Z238" s="30">
        <v>0</v>
      </c>
      <c r="AA238" s="2">
        <f t="shared" si="115"/>
        <v>24491.279999999999</v>
      </c>
      <c r="AB238" s="30">
        <v>24491.279999999999</v>
      </c>
      <c r="AC238" s="36">
        <v>0</v>
      </c>
      <c r="AD238" s="16">
        <f t="shared" si="90"/>
        <v>3783836</v>
      </c>
      <c r="AE238" s="2">
        <v>0</v>
      </c>
      <c r="AF238" s="2">
        <f t="shared" si="116"/>
        <v>3783836</v>
      </c>
      <c r="AG238" s="38" t="s">
        <v>857</v>
      </c>
      <c r="AH238" s="29" t="s">
        <v>1766</v>
      </c>
      <c r="AI238" s="30">
        <f>297354.9+119241.06-4498.53+225425.62+116929.56+16351.81+266529.22+121365.47+256475.95+940144.86+779489.1-779489.1+779489.1</f>
        <v>3134809.02</v>
      </c>
      <c r="AJ238" s="30">
        <f>48764.85+1616.42+20029.95+39781+22699.08+26424.14+21924.92+14831.37+187773.23+119215.98</f>
        <v>503060.93999999994</v>
      </c>
    </row>
    <row r="239" spans="1:36" ht="379.5" customHeight="1" x14ac:dyDescent="0.25">
      <c r="A239" s="6">
        <v>236</v>
      </c>
      <c r="B239" s="31">
        <v>127741</v>
      </c>
      <c r="C239" s="11">
        <v>642</v>
      </c>
      <c r="D239" s="9" t="s">
        <v>1638</v>
      </c>
      <c r="E239" s="11" t="s">
        <v>1071</v>
      </c>
      <c r="F239" s="11" t="s">
        <v>1098</v>
      </c>
      <c r="G239" s="15" t="s">
        <v>1099</v>
      </c>
      <c r="H239" s="8" t="s">
        <v>151</v>
      </c>
      <c r="I239" s="46" t="s">
        <v>2729</v>
      </c>
      <c r="J239" s="25">
        <v>43622</v>
      </c>
      <c r="K239" s="25">
        <v>44445</v>
      </c>
      <c r="L239" s="26">
        <f t="shared" si="112"/>
        <v>85.000000180308987</v>
      </c>
      <c r="M239" s="11">
        <v>5</v>
      </c>
      <c r="N239" s="11" t="s">
        <v>592</v>
      </c>
      <c r="O239" s="40" t="s">
        <v>1100</v>
      </c>
      <c r="P239" s="27" t="s">
        <v>174</v>
      </c>
      <c r="Q239" s="11" t="s">
        <v>34</v>
      </c>
      <c r="R239" s="2">
        <f t="shared" si="117"/>
        <v>2357064.88</v>
      </c>
      <c r="S239" s="30">
        <v>2357064.88</v>
      </c>
      <c r="T239" s="30">
        <v>0</v>
      </c>
      <c r="U239" s="1">
        <f t="shared" si="113"/>
        <v>360492.27</v>
      </c>
      <c r="V239" s="42">
        <v>360492.27</v>
      </c>
      <c r="W239" s="55">
        <v>0</v>
      </c>
      <c r="X239" s="1">
        <f t="shared" si="114"/>
        <v>55460.35</v>
      </c>
      <c r="Y239" s="30">
        <v>55460.35</v>
      </c>
      <c r="Z239" s="30">
        <v>0</v>
      </c>
      <c r="AA239" s="2">
        <f t="shared" si="115"/>
        <v>0</v>
      </c>
      <c r="AB239" s="51"/>
      <c r="AC239" s="36">
        <v>0</v>
      </c>
      <c r="AD239" s="16">
        <f t="shared" si="90"/>
        <v>2773017.5</v>
      </c>
      <c r="AE239" s="2">
        <v>1</v>
      </c>
      <c r="AF239" s="2">
        <f t="shared" si="116"/>
        <v>2773018.5</v>
      </c>
      <c r="AG239" s="38" t="s">
        <v>857</v>
      </c>
      <c r="AH239" s="29" t="s">
        <v>1631</v>
      </c>
      <c r="AI239" s="30">
        <f>1332746.83+742290.58+20759.02</f>
        <v>2095796.4300000002</v>
      </c>
      <c r="AJ239" s="30">
        <f>203831.86+113526.79+3174.9</f>
        <v>320533.55</v>
      </c>
    </row>
    <row r="240" spans="1:36" ht="379.5" customHeight="1" x14ac:dyDescent="0.25">
      <c r="A240" s="6">
        <v>237</v>
      </c>
      <c r="B240" s="31">
        <v>128531</v>
      </c>
      <c r="C240" s="11">
        <v>643</v>
      </c>
      <c r="D240" s="9" t="s">
        <v>1638</v>
      </c>
      <c r="E240" s="11" t="s">
        <v>1071</v>
      </c>
      <c r="F240" s="11" t="s">
        <v>1112</v>
      </c>
      <c r="G240" s="15" t="s">
        <v>1111</v>
      </c>
      <c r="H240" s="8" t="s">
        <v>151</v>
      </c>
      <c r="I240" s="46" t="s">
        <v>2730</v>
      </c>
      <c r="J240" s="25">
        <v>43634</v>
      </c>
      <c r="K240" s="25">
        <v>44548</v>
      </c>
      <c r="L240" s="26">
        <f t="shared" si="112"/>
        <v>85</v>
      </c>
      <c r="M240" s="11">
        <v>5</v>
      </c>
      <c r="N240" s="11" t="s">
        <v>592</v>
      </c>
      <c r="O240" s="40" t="s">
        <v>1113</v>
      </c>
      <c r="P240" s="27" t="s">
        <v>174</v>
      </c>
      <c r="Q240" s="11" t="s">
        <v>34</v>
      </c>
      <c r="R240" s="2">
        <f t="shared" si="117"/>
        <v>2728625.8</v>
      </c>
      <c r="S240" s="51">
        <v>2728625.8</v>
      </c>
      <c r="T240" s="51">
        <v>0</v>
      </c>
      <c r="U240" s="1">
        <f t="shared" si="113"/>
        <v>417319.24</v>
      </c>
      <c r="V240" s="55">
        <v>417319.24</v>
      </c>
      <c r="W240" s="55">
        <v>0</v>
      </c>
      <c r="X240" s="1">
        <f t="shared" si="114"/>
        <v>64202.96</v>
      </c>
      <c r="Y240" s="51">
        <v>64202.96</v>
      </c>
      <c r="Z240" s="51">
        <v>0</v>
      </c>
      <c r="AA240" s="2">
        <f t="shared" si="115"/>
        <v>0</v>
      </c>
      <c r="AB240" s="2">
        <v>0</v>
      </c>
      <c r="AC240" s="2">
        <v>0</v>
      </c>
      <c r="AD240" s="16">
        <f t="shared" si="90"/>
        <v>3210148</v>
      </c>
      <c r="AE240" s="2"/>
      <c r="AF240" s="2">
        <f t="shared" si="116"/>
        <v>3210148</v>
      </c>
      <c r="AG240" s="38" t="s">
        <v>857</v>
      </c>
      <c r="AH240" s="29" t="s">
        <v>1750</v>
      </c>
      <c r="AI240" s="30">
        <f>217687.62+240049.18+215955.25+105468.61+857119.81+199574.05+108838.08+79362.29+70652.85+401868.8+0.15+64141.61</f>
        <v>2560718.3000000003</v>
      </c>
      <c r="AJ240" s="30">
        <f>32312.38+36713.4+33028.45+17111.51+131088.92+30523.09+16645.82+12137.76+10805.73+61462.44-0.13+9809.9</f>
        <v>391639.27</v>
      </c>
    </row>
    <row r="241" spans="1:36" ht="379.5" customHeight="1" x14ac:dyDescent="0.25">
      <c r="A241" s="6">
        <v>238</v>
      </c>
      <c r="B241" s="31">
        <v>129575</v>
      </c>
      <c r="C241" s="11">
        <v>659</v>
      </c>
      <c r="D241" s="9" t="s">
        <v>1638</v>
      </c>
      <c r="E241" s="11" t="s">
        <v>1071</v>
      </c>
      <c r="F241" s="11" t="s">
        <v>1129</v>
      </c>
      <c r="G241" s="15" t="s">
        <v>1127</v>
      </c>
      <c r="H241" s="8" t="s">
        <v>151</v>
      </c>
      <c r="I241" s="46" t="s">
        <v>1130</v>
      </c>
      <c r="J241" s="25">
        <v>43640</v>
      </c>
      <c r="K241" s="25">
        <v>44432</v>
      </c>
      <c r="L241" s="26">
        <f t="shared" si="112"/>
        <v>84.999999883898255</v>
      </c>
      <c r="M241" s="11">
        <v>5</v>
      </c>
      <c r="N241" s="11" t="s">
        <v>592</v>
      </c>
      <c r="O241" s="40" t="s">
        <v>1128</v>
      </c>
      <c r="P241" s="27" t="s">
        <v>174</v>
      </c>
      <c r="Q241" s="11" t="s">
        <v>34</v>
      </c>
      <c r="R241" s="2">
        <f t="shared" si="117"/>
        <v>2562407.54</v>
      </c>
      <c r="S241" s="51">
        <v>2562407.54</v>
      </c>
      <c r="T241" s="51">
        <v>0</v>
      </c>
      <c r="U241" s="1">
        <f t="shared" si="113"/>
        <v>391897.63</v>
      </c>
      <c r="V241" s="55">
        <v>391897.63</v>
      </c>
      <c r="W241" s="55">
        <v>0</v>
      </c>
      <c r="X241" s="1">
        <f t="shared" si="114"/>
        <v>60291.939999999981</v>
      </c>
      <c r="Y241" s="51">
        <v>60291.939999999981</v>
      </c>
      <c r="Z241" s="51">
        <v>0</v>
      </c>
      <c r="AA241" s="2">
        <f t="shared" si="115"/>
        <v>0</v>
      </c>
      <c r="AB241" s="51">
        <v>0</v>
      </c>
      <c r="AC241" s="51">
        <v>0</v>
      </c>
      <c r="AD241" s="16">
        <f t="shared" si="90"/>
        <v>3014597.11</v>
      </c>
      <c r="AE241" s="2">
        <v>0</v>
      </c>
      <c r="AF241" s="2">
        <f t="shared" si="116"/>
        <v>3014597.11</v>
      </c>
      <c r="AG241" s="38" t="s">
        <v>857</v>
      </c>
      <c r="AH241" s="29" t="s">
        <v>1760</v>
      </c>
      <c r="AI241" s="30">
        <f>649821.42+332457.04-19866.57+315838.48+399197.23+240858.26-28723.66+383933.53+62633.95</f>
        <v>2336149.6800000006</v>
      </c>
      <c r="AJ241" s="30">
        <f>50197.04+50846.37+19866.57+25399.72+61053.69+36837.15+28723.66+74789.95+9579.31</f>
        <v>357293.46</v>
      </c>
    </row>
    <row r="242" spans="1:36" ht="379.5" customHeight="1" x14ac:dyDescent="0.25">
      <c r="A242" s="6">
        <v>239</v>
      </c>
      <c r="B242" s="11">
        <v>128870</v>
      </c>
      <c r="C242" s="11">
        <v>668</v>
      </c>
      <c r="D242" s="9" t="s">
        <v>1638</v>
      </c>
      <c r="E242" s="24" t="s">
        <v>1071</v>
      </c>
      <c r="F242" s="11" t="s">
        <v>1235</v>
      </c>
      <c r="G242" s="11" t="s">
        <v>211</v>
      </c>
      <c r="H242" s="8" t="s">
        <v>151</v>
      </c>
      <c r="I242" s="12" t="s">
        <v>1236</v>
      </c>
      <c r="J242" s="25">
        <v>43697</v>
      </c>
      <c r="K242" s="25">
        <v>44428</v>
      </c>
      <c r="L242" s="26">
        <f t="shared" si="112"/>
        <v>85.000000000000014</v>
      </c>
      <c r="M242" s="11">
        <v>5</v>
      </c>
      <c r="N242" s="11" t="s">
        <v>592</v>
      </c>
      <c r="O242" s="11" t="s">
        <v>215</v>
      </c>
      <c r="P242" s="27" t="s">
        <v>174</v>
      </c>
      <c r="Q242" s="11" t="s">
        <v>34</v>
      </c>
      <c r="R242" s="1">
        <v>2288366.6000000006</v>
      </c>
      <c r="S242" s="2">
        <v>2288366.6000000006</v>
      </c>
      <c r="T242" s="2">
        <v>0</v>
      </c>
      <c r="U242" s="1">
        <v>349985.48</v>
      </c>
      <c r="V242" s="28">
        <v>349985.48</v>
      </c>
      <c r="W242" s="28">
        <v>0</v>
      </c>
      <c r="X242" s="1">
        <v>53843.92</v>
      </c>
      <c r="Y242" s="2">
        <v>53843.92</v>
      </c>
      <c r="Z242" s="2">
        <v>0</v>
      </c>
      <c r="AA242" s="2">
        <v>0</v>
      </c>
      <c r="AB242" s="2">
        <v>0</v>
      </c>
      <c r="AC242" s="2">
        <v>0</v>
      </c>
      <c r="AD242" s="16">
        <f t="shared" si="90"/>
        <v>2692196.0000000005</v>
      </c>
      <c r="AE242" s="2">
        <v>0</v>
      </c>
      <c r="AF242" s="2">
        <v>2692196.0000000005</v>
      </c>
      <c r="AG242" s="38" t="s">
        <v>857</v>
      </c>
      <c r="AH242" s="29" t="s">
        <v>151</v>
      </c>
      <c r="AI242" s="30">
        <f>246216.09+160994.99-19780.05+275583.18+223439.59+743140.22-32529.53+227704.03-3644.8-38772.6+169426.25</f>
        <v>1951777.3699999999</v>
      </c>
      <c r="AJ242" s="30">
        <f>23002.91+12411.49+19780.05+42148.01+37418.04+73296.86+32529.53+17518.55+3644.8+10844.64+25912.25</f>
        <v>298507.12999999995</v>
      </c>
    </row>
    <row r="243" spans="1:36" ht="301.5" customHeight="1" x14ac:dyDescent="0.25">
      <c r="A243" s="6">
        <v>240</v>
      </c>
      <c r="B243" s="11">
        <v>128738</v>
      </c>
      <c r="C243" s="11">
        <v>627</v>
      </c>
      <c r="D243" s="9" t="s">
        <v>1638</v>
      </c>
      <c r="E243" s="24" t="s">
        <v>1071</v>
      </c>
      <c r="F243" s="11" t="s">
        <v>1417</v>
      </c>
      <c r="G243" s="11" t="s">
        <v>1497</v>
      </c>
      <c r="H243" s="8" t="s">
        <v>151</v>
      </c>
      <c r="I243" s="12" t="s">
        <v>1419</v>
      </c>
      <c r="J243" s="25">
        <v>43838</v>
      </c>
      <c r="K243" s="25">
        <v>44569</v>
      </c>
      <c r="L243" s="26">
        <f t="shared" si="112"/>
        <v>84.999999882123163</v>
      </c>
      <c r="M243" s="11">
        <v>5</v>
      </c>
      <c r="N243" s="11" t="s">
        <v>592</v>
      </c>
      <c r="O243" s="11" t="s">
        <v>1418</v>
      </c>
      <c r="P243" s="27" t="s">
        <v>174</v>
      </c>
      <c r="Q243" s="11" t="s">
        <v>34</v>
      </c>
      <c r="R243" s="1">
        <f t="shared" si="117"/>
        <v>1802729.17</v>
      </c>
      <c r="S243" s="2">
        <v>1802729.17</v>
      </c>
      <c r="T243" s="2">
        <v>0</v>
      </c>
      <c r="U243" s="1">
        <f t="shared" si="113"/>
        <v>275711.53999999998</v>
      </c>
      <c r="V243" s="28">
        <v>275711.53999999998</v>
      </c>
      <c r="W243" s="28">
        <v>0</v>
      </c>
      <c r="X243" s="1">
        <f t="shared" si="114"/>
        <v>42417.14</v>
      </c>
      <c r="Y243" s="2">
        <v>42417.14</v>
      </c>
      <c r="Z243" s="2">
        <v>0</v>
      </c>
      <c r="AA243" s="2">
        <f t="shared" si="115"/>
        <v>0</v>
      </c>
      <c r="AB243" s="2">
        <v>0</v>
      </c>
      <c r="AC243" s="2">
        <v>0</v>
      </c>
      <c r="AD243" s="16">
        <f t="shared" si="90"/>
        <v>2120857.85</v>
      </c>
      <c r="AE243" s="2">
        <v>0</v>
      </c>
      <c r="AF243" s="2">
        <f t="shared" si="116"/>
        <v>2120857.85</v>
      </c>
      <c r="AG243" s="38" t="s">
        <v>857</v>
      </c>
      <c r="AH243" s="29" t="s">
        <v>151</v>
      </c>
      <c r="AI243" s="30">
        <f>112000-9678.11+77447.46+267216.34+620115.86+71682.9+448633.63+54519.85-6910.54+31720.64-3942.25+81813.34+2703.38-54209.75</f>
        <v>1693112.75</v>
      </c>
      <c r="AJ243" s="30">
        <f>9678.11+4051.32+40868.39+94841.24+10045.62+68614.55+8338.33+6910.54+4851.39+3942.25+413.46+6391.45</f>
        <v>258946.65</v>
      </c>
    </row>
    <row r="244" spans="1:36" ht="212.25" customHeight="1" x14ac:dyDescent="0.25">
      <c r="A244" s="6">
        <v>241</v>
      </c>
      <c r="B244" s="11">
        <v>135237</v>
      </c>
      <c r="C244" s="11">
        <v>793</v>
      </c>
      <c r="D244" s="9" t="s">
        <v>1638</v>
      </c>
      <c r="E244" s="24" t="s">
        <v>1441</v>
      </c>
      <c r="F244" s="11" t="s">
        <v>1447</v>
      </c>
      <c r="G244" s="11" t="s">
        <v>591</v>
      </c>
      <c r="H244" s="8" t="s">
        <v>151</v>
      </c>
      <c r="I244" s="12" t="s">
        <v>1448</v>
      </c>
      <c r="J244" s="25">
        <v>43949</v>
      </c>
      <c r="K244" s="25">
        <v>45135</v>
      </c>
      <c r="L244" s="26">
        <f t="shared" si="112"/>
        <v>84.999999628092681</v>
      </c>
      <c r="M244" s="11">
        <v>5</v>
      </c>
      <c r="N244" s="11" t="s">
        <v>592</v>
      </c>
      <c r="O244" s="11" t="s">
        <v>593</v>
      </c>
      <c r="P244" s="27" t="s">
        <v>174</v>
      </c>
      <c r="Q244" s="11" t="s">
        <v>34</v>
      </c>
      <c r="R244" s="1">
        <f t="shared" si="117"/>
        <v>2399791.5</v>
      </c>
      <c r="S244" s="2">
        <v>2399791.5</v>
      </c>
      <c r="T244" s="2">
        <v>0</v>
      </c>
      <c r="U244" s="1">
        <f t="shared" si="113"/>
        <v>367026.95</v>
      </c>
      <c r="V244" s="28">
        <v>367026.95</v>
      </c>
      <c r="W244" s="28">
        <v>0</v>
      </c>
      <c r="X244" s="1">
        <f t="shared" si="114"/>
        <v>56465.68</v>
      </c>
      <c r="Y244" s="2">
        <v>56465.68</v>
      </c>
      <c r="Z244" s="2">
        <v>0</v>
      </c>
      <c r="AA244" s="2">
        <f t="shared" si="115"/>
        <v>0</v>
      </c>
      <c r="AB244" s="2">
        <v>0</v>
      </c>
      <c r="AC244" s="2">
        <v>0</v>
      </c>
      <c r="AD244" s="16">
        <f t="shared" si="90"/>
        <v>2823284.1300000004</v>
      </c>
      <c r="AE244" s="2">
        <v>0</v>
      </c>
      <c r="AF244" s="2">
        <f t="shared" si="116"/>
        <v>2823284.1300000004</v>
      </c>
      <c r="AG244" s="38" t="s">
        <v>486</v>
      </c>
      <c r="AH244" s="29" t="s">
        <v>3295</v>
      </c>
      <c r="AI244" s="30">
        <f>282328.41-3301.74-10148.36</f>
        <v>268878.31</v>
      </c>
      <c r="AJ244" s="30">
        <f>3301.74+10148.36</f>
        <v>13450.1</v>
      </c>
    </row>
    <row r="245" spans="1:36" ht="204.75" x14ac:dyDescent="0.25">
      <c r="A245" s="6">
        <v>242</v>
      </c>
      <c r="B245" s="11">
        <v>136172</v>
      </c>
      <c r="C245" s="11">
        <v>798</v>
      </c>
      <c r="D245" s="9" t="s">
        <v>1638</v>
      </c>
      <c r="E245" s="24" t="s">
        <v>1441</v>
      </c>
      <c r="F245" s="11" t="s">
        <v>1496</v>
      </c>
      <c r="G245" s="11" t="s">
        <v>1497</v>
      </c>
      <c r="H245" s="8" t="s">
        <v>151</v>
      </c>
      <c r="I245" s="12" t="s">
        <v>2731</v>
      </c>
      <c r="J245" s="25">
        <v>43969</v>
      </c>
      <c r="K245" s="25">
        <v>45003</v>
      </c>
      <c r="L245" s="26">
        <f t="shared" si="112"/>
        <v>85.000000403987528</v>
      </c>
      <c r="M245" s="11">
        <v>5</v>
      </c>
      <c r="N245" s="11" t="s">
        <v>592</v>
      </c>
      <c r="O245" s="11" t="s">
        <v>1418</v>
      </c>
      <c r="P245" s="27" t="s">
        <v>174</v>
      </c>
      <c r="Q245" s="11" t="s">
        <v>34</v>
      </c>
      <c r="R245" s="1">
        <f t="shared" si="117"/>
        <v>3156038.03</v>
      </c>
      <c r="S245" s="2">
        <v>3156038.03</v>
      </c>
      <c r="T245" s="2">
        <v>0</v>
      </c>
      <c r="U245" s="1">
        <f t="shared" si="113"/>
        <v>482688.15</v>
      </c>
      <c r="V245" s="28">
        <v>482688.15</v>
      </c>
      <c r="W245" s="28">
        <v>0</v>
      </c>
      <c r="X245" s="1">
        <f t="shared" si="114"/>
        <v>74259.72</v>
      </c>
      <c r="Y245" s="2">
        <v>74259.72</v>
      </c>
      <c r="Z245" s="2">
        <v>0</v>
      </c>
      <c r="AA245" s="2">
        <f t="shared" si="115"/>
        <v>0</v>
      </c>
      <c r="AB245" s="2">
        <v>0</v>
      </c>
      <c r="AC245" s="2">
        <v>0</v>
      </c>
      <c r="AD245" s="16">
        <f t="shared" si="90"/>
        <v>3712985.9</v>
      </c>
      <c r="AE245" s="2">
        <v>0</v>
      </c>
      <c r="AF245" s="2">
        <f t="shared" si="116"/>
        <v>3712985.9</v>
      </c>
      <c r="AG245" s="38" t="s">
        <v>486</v>
      </c>
      <c r="AH245" s="29" t="s">
        <v>3310</v>
      </c>
      <c r="AI245" s="30">
        <f>80000-10419.72+98548.63-3498.98+284928.39+331545.9-11548.44-17982.25+113288-8152.82+937791.7+1100501.89-35677.33-6980.48+27264.26</f>
        <v>2879608.7499999995</v>
      </c>
      <c r="AJ245" s="30">
        <f>10419.72+3498.98+8954.92+50707.02+11548.44+17982.25+17326.4+8152.82+90344.8+168312.05+35677.33+6980.48</f>
        <v>429905.21</v>
      </c>
    </row>
    <row r="246" spans="1:36" ht="315" x14ac:dyDescent="0.25">
      <c r="A246" s="6">
        <v>243</v>
      </c>
      <c r="B246" s="11">
        <v>136022</v>
      </c>
      <c r="C246" s="11">
        <v>809</v>
      </c>
      <c r="D246" s="9" t="s">
        <v>1638</v>
      </c>
      <c r="E246" s="24" t="s">
        <v>1441</v>
      </c>
      <c r="F246" s="11" t="s">
        <v>1562</v>
      </c>
      <c r="G246" s="11" t="s">
        <v>1127</v>
      </c>
      <c r="H246" s="8" t="s">
        <v>151</v>
      </c>
      <c r="I246" s="12" t="s">
        <v>2732</v>
      </c>
      <c r="J246" s="25">
        <v>44014</v>
      </c>
      <c r="K246" s="25">
        <v>44744</v>
      </c>
      <c r="L246" s="26">
        <f t="shared" si="112"/>
        <v>85.000000140255977</v>
      </c>
      <c r="M246" s="11">
        <v>5</v>
      </c>
      <c r="N246" s="11" t="s">
        <v>592</v>
      </c>
      <c r="O246" s="11" t="s">
        <v>1128</v>
      </c>
      <c r="P246" s="27" t="s">
        <v>174</v>
      </c>
      <c r="Q246" s="11" t="s">
        <v>34</v>
      </c>
      <c r="R246" s="1">
        <f t="shared" si="117"/>
        <v>3030173.76</v>
      </c>
      <c r="S246" s="2">
        <v>3030173.76</v>
      </c>
      <c r="T246" s="2">
        <v>0</v>
      </c>
      <c r="U246" s="1">
        <f t="shared" si="113"/>
        <v>463438.33</v>
      </c>
      <c r="V246" s="28">
        <v>463438.33</v>
      </c>
      <c r="W246" s="28">
        <v>0</v>
      </c>
      <c r="X246" s="1">
        <f t="shared" si="114"/>
        <v>71298.210000000006</v>
      </c>
      <c r="Y246" s="2">
        <v>71298.210000000006</v>
      </c>
      <c r="Z246" s="2">
        <v>0</v>
      </c>
      <c r="AA246" s="2">
        <f t="shared" si="115"/>
        <v>0</v>
      </c>
      <c r="AB246" s="2">
        <v>0</v>
      </c>
      <c r="AC246" s="2">
        <v>0</v>
      </c>
      <c r="AD246" s="16">
        <f t="shared" si="90"/>
        <v>3564910.3</v>
      </c>
      <c r="AE246" s="2">
        <v>0</v>
      </c>
      <c r="AF246" s="2">
        <f t="shared" si="116"/>
        <v>3564910.3</v>
      </c>
      <c r="AG246" s="38" t="s">
        <v>857</v>
      </c>
      <c r="AH246" s="29" t="s">
        <v>151</v>
      </c>
      <c r="AI246" s="30">
        <f>356491+211105-27180.46+204898.83+345233.51+301682.34+218575.04+595758.51+365697.42</f>
        <v>2572261.19</v>
      </c>
      <c r="AJ246" s="30">
        <f>32286.64+27180.46+52800.42+46139.65+33429.12+91116.01+110452.34</f>
        <v>393404.64</v>
      </c>
    </row>
    <row r="247" spans="1:36" ht="141.75" x14ac:dyDescent="0.25">
      <c r="A247" s="6">
        <v>244</v>
      </c>
      <c r="B247" s="11">
        <v>152075</v>
      </c>
      <c r="C247" s="11">
        <v>1103</v>
      </c>
      <c r="D247" s="9" t="s">
        <v>1639</v>
      </c>
      <c r="E247" s="24" t="s">
        <v>1801</v>
      </c>
      <c r="F247" s="11" t="s">
        <v>1811</v>
      </c>
      <c r="G247" s="11" t="s">
        <v>1111</v>
      </c>
      <c r="H247" s="8" t="s">
        <v>151</v>
      </c>
      <c r="I247" s="12" t="s">
        <v>2733</v>
      </c>
      <c r="J247" s="25">
        <v>44476</v>
      </c>
      <c r="K247" s="25">
        <v>44841</v>
      </c>
      <c r="L247" s="26">
        <f t="shared" si="112"/>
        <v>85</v>
      </c>
      <c r="M247" s="11">
        <v>5</v>
      </c>
      <c r="N247" s="11" t="s">
        <v>592</v>
      </c>
      <c r="O247" s="11" t="s">
        <v>1113</v>
      </c>
      <c r="P247" s="27" t="s">
        <v>174</v>
      </c>
      <c r="Q247" s="11" t="s">
        <v>34</v>
      </c>
      <c r="R247" s="1">
        <f t="shared" si="117"/>
        <v>352497.55</v>
      </c>
      <c r="S247" s="2">
        <v>352497.55</v>
      </c>
      <c r="T247" s="2">
        <v>0</v>
      </c>
      <c r="U247" s="1">
        <f t="shared" si="113"/>
        <v>53911.39</v>
      </c>
      <c r="V247" s="28">
        <v>53911.39</v>
      </c>
      <c r="W247" s="28">
        <v>0</v>
      </c>
      <c r="X247" s="1">
        <f t="shared" si="114"/>
        <v>8294.06</v>
      </c>
      <c r="Y247" s="2">
        <v>8294.06</v>
      </c>
      <c r="Z247" s="2">
        <v>0</v>
      </c>
      <c r="AA247" s="2">
        <f t="shared" si="115"/>
        <v>0</v>
      </c>
      <c r="AB247" s="2">
        <v>0</v>
      </c>
      <c r="AC247" s="2">
        <v>0</v>
      </c>
      <c r="AD247" s="16">
        <f t="shared" si="90"/>
        <v>414703</v>
      </c>
      <c r="AE247" s="2">
        <v>0</v>
      </c>
      <c r="AF247" s="2">
        <f t="shared" si="116"/>
        <v>414703</v>
      </c>
      <c r="AG247" s="38" t="s">
        <v>857</v>
      </c>
      <c r="AH247" s="29" t="s">
        <v>151</v>
      </c>
      <c r="AI247" s="30">
        <f>40000+118177.55+189465.4</f>
        <v>347642.94999999995</v>
      </c>
      <c r="AJ247" s="30">
        <f>22932.65+30236.27</f>
        <v>53168.92</v>
      </c>
    </row>
    <row r="248" spans="1:36" ht="141.75" x14ac:dyDescent="0.25">
      <c r="A248" s="6">
        <v>245</v>
      </c>
      <c r="B248" s="11">
        <v>151785</v>
      </c>
      <c r="C248" s="11">
        <v>1112</v>
      </c>
      <c r="D248" s="9" t="s">
        <v>1639</v>
      </c>
      <c r="E248" s="24" t="s">
        <v>1801</v>
      </c>
      <c r="F248" s="11" t="s">
        <v>1824</v>
      </c>
      <c r="G248" s="11" t="s">
        <v>1497</v>
      </c>
      <c r="H248" s="8" t="s">
        <v>151</v>
      </c>
      <c r="I248" s="12" t="s">
        <v>1825</v>
      </c>
      <c r="J248" s="25">
        <v>44481</v>
      </c>
      <c r="K248" s="25">
        <v>44969</v>
      </c>
      <c r="L248" s="26">
        <f t="shared" si="112"/>
        <v>85.000000000000014</v>
      </c>
      <c r="M248" s="11">
        <v>5</v>
      </c>
      <c r="N248" s="11" t="s">
        <v>592</v>
      </c>
      <c r="O248" s="11" t="s">
        <v>1418</v>
      </c>
      <c r="P248" s="27" t="s">
        <v>174</v>
      </c>
      <c r="Q248" s="11" t="s">
        <v>34</v>
      </c>
      <c r="R248" s="1">
        <f t="shared" si="117"/>
        <v>348953.9</v>
      </c>
      <c r="S248" s="2">
        <v>348953.9</v>
      </c>
      <c r="T248" s="2">
        <v>0</v>
      </c>
      <c r="U248" s="1">
        <f t="shared" si="113"/>
        <v>53369.42</v>
      </c>
      <c r="V248" s="28">
        <v>53369.42</v>
      </c>
      <c r="W248" s="28">
        <v>0</v>
      </c>
      <c r="X248" s="1">
        <f t="shared" si="114"/>
        <v>8210.68</v>
      </c>
      <c r="Y248" s="2">
        <v>8210.68</v>
      </c>
      <c r="Z248" s="2">
        <v>0</v>
      </c>
      <c r="AA248" s="2">
        <f t="shared" si="115"/>
        <v>0</v>
      </c>
      <c r="AB248" s="2">
        <v>0</v>
      </c>
      <c r="AC248" s="2">
        <v>0</v>
      </c>
      <c r="AD248" s="16">
        <f t="shared" si="90"/>
        <v>410534</v>
      </c>
      <c r="AE248" s="2">
        <v>0</v>
      </c>
      <c r="AF248" s="2">
        <f t="shared" si="116"/>
        <v>410534</v>
      </c>
      <c r="AG248" s="38" t="s">
        <v>486</v>
      </c>
      <c r="AH248" s="29" t="s">
        <v>151</v>
      </c>
      <c r="AI248" s="30">
        <f>41000+30243.85+90529.25-3784.95+50979.6+31854.5+90529.25</f>
        <v>331351.5</v>
      </c>
      <c r="AJ248" s="30">
        <f>4625.53+13845.65+3784.95+7796.88+1808.04+13845.65</f>
        <v>45706.700000000004</v>
      </c>
    </row>
    <row r="249" spans="1:36" ht="141.75" x14ac:dyDescent="0.25">
      <c r="A249" s="6">
        <v>246</v>
      </c>
      <c r="B249" s="11">
        <v>151716</v>
      </c>
      <c r="C249" s="11">
        <v>1123</v>
      </c>
      <c r="D249" s="9" t="s">
        <v>1639</v>
      </c>
      <c r="E249" s="24" t="s">
        <v>1801</v>
      </c>
      <c r="F249" s="11" t="s">
        <v>1835</v>
      </c>
      <c r="G249" s="11" t="s">
        <v>930</v>
      </c>
      <c r="H249" s="8" t="s">
        <v>151</v>
      </c>
      <c r="I249" s="12" t="s">
        <v>2618</v>
      </c>
      <c r="J249" s="25">
        <v>44495</v>
      </c>
      <c r="K249" s="25">
        <v>45042</v>
      </c>
      <c r="L249" s="26">
        <f t="shared" si="112"/>
        <v>85.000000000000014</v>
      </c>
      <c r="M249" s="11">
        <v>5</v>
      </c>
      <c r="N249" s="11" t="s">
        <v>592</v>
      </c>
      <c r="O249" s="11" t="s">
        <v>593</v>
      </c>
      <c r="P249" s="27" t="s">
        <v>174</v>
      </c>
      <c r="Q249" s="11" t="s">
        <v>34</v>
      </c>
      <c r="R249" s="1">
        <f t="shared" si="117"/>
        <v>352608.9</v>
      </c>
      <c r="S249" s="2">
        <v>352608.9</v>
      </c>
      <c r="T249" s="2">
        <v>0</v>
      </c>
      <c r="U249" s="1">
        <f t="shared" si="113"/>
        <v>53928.42</v>
      </c>
      <c r="V249" s="28">
        <v>53928.42</v>
      </c>
      <c r="W249" s="28">
        <v>0</v>
      </c>
      <c r="X249" s="1">
        <f t="shared" si="114"/>
        <v>8296.68</v>
      </c>
      <c r="Y249" s="2">
        <v>8296.68</v>
      </c>
      <c r="Z249" s="2">
        <v>0</v>
      </c>
      <c r="AA249" s="2">
        <f t="shared" si="115"/>
        <v>0</v>
      </c>
      <c r="AB249" s="2">
        <v>0</v>
      </c>
      <c r="AC249" s="2">
        <v>0</v>
      </c>
      <c r="AD249" s="16">
        <f t="shared" si="90"/>
        <v>414834</v>
      </c>
      <c r="AE249" s="2">
        <v>0</v>
      </c>
      <c r="AF249" s="2">
        <f t="shared" si="116"/>
        <v>414834</v>
      </c>
      <c r="AG249" s="38" t="s">
        <v>486</v>
      </c>
      <c r="AH249" s="29" t="s">
        <v>3312</v>
      </c>
      <c r="AI249" s="30">
        <v>0</v>
      </c>
      <c r="AJ249" s="30">
        <v>0</v>
      </c>
    </row>
    <row r="250" spans="1:36" ht="141.75" x14ac:dyDescent="0.25">
      <c r="A250" s="6">
        <v>247</v>
      </c>
      <c r="B250" s="11">
        <v>152198</v>
      </c>
      <c r="C250" s="11">
        <v>1141</v>
      </c>
      <c r="D250" s="9" t="s">
        <v>1639</v>
      </c>
      <c r="E250" s="24" t="s">
        <v>1801</v>
      </c>
      <c r="F250" s="11" t="s">
        <v>1941</v>
      </c>
      <c r="G250" s="11" t="s">
        <v>1127</v>
      </c>
      <c r="H250" s="8" t="s">
        <v>151</v>
      </c>
      <c r="I250" s="12" t="s">
        <v>2734</v>
      </c>
      <c r="J250" s="25">
        <v>44550</v>
      </c>
      <c r="K250" s="25">
        <v>44915</v>
      </c>
      <c r="L250" s="26">
        <f t="shared" ref="L250:L256" si="118">R250/AD250*100</f>
        <v>85.000000000000014</v>
      </c>
      <c r="M250" s="11">
        <v>5</v>
      </c>
      <c r="N250" s="11" t="s">
        <v>592</v>
      </c>
      <c r="O250" s="11" t="s">
        <v>1128</v>
      </c>
      <c r="P250" s="27" t="s">
        <v>174</v>
      </c>
      <c r="Q250" s="11" t="s">
        <v>34</v>
      </c>
      <c r="R250" s="1">
        <f t="shared" ref="R250:R256" si="119">S250+T250</f>
        <v>350568.9</v>
      </c>
      <c r="S250" s="2">
        <v>350568.9</v>
      </c>
      <c r="T250" s="2">
        <v>0</v>
      </c>
      <c r="U250" s="1">
        <f t="shared" si="113"/>
        <v>53616.42</v>
      </c>
      <c r="V250" s="28">
        <v>53616.42</v>
      </c>
      <c r="W250" s="28">
        <v>0</v>
      </c>
      <c r="X250" s="1">
        <f t="shared" si="114"/>
        <v>8248.68</v>
      </c>
      <c r="Y250" s="2">
        <v>8248.68</v>
      </c>
      <c r="Z250" s="2">
        <v>0</v>
      </c>
      <c r="AA250" s="2">
        <f t="shared" si="115"/>
        <v>0</v>
      </c>
      <c r="AB250" s="2">
        <v>0</v>
      </c>
      <c r="AC250" s="2">
        <v>0</v>
      </c>
      <c r="AD250" s="16">
        <f t="shared" si="90"/>
        <v>412434</v>
      </c>
      <c r="AE250" s="2">
        <v>0</v>
      </c>
      <c r="AF250" s="2">
        <f t="shared" si="116"/>
        <v>412434</v>
      </c>
      <c r="AG250" s="38" t="s">
        <v>486</v>
      </c>
      <c r="AH250" s="29"/>
      <c r="AI250" s="30">
        <f>120889.08+121380</f>
        <v>242269.08000000002</v>
      </c>
      <c r="AJ250" s="30">
        <f>18488.92+18564</f>
        <v>37052.92</v>
      </c>
    </row>
    <row r="251" spans="1:36" ht="141.75" x14ac:dyDescent="0.25">
      <c r="A251" s="6">
        <v>248</v>
      </c>
      <c r="B251" s="11">
        <v>152218</v>
      </c>
      <c r="C251" s="11">
        <v>1146</v>
      </c>
      <c r="D251" s="9" t="s">
        <v>1639</v>
      </c>
      <c r="E251" s="24" t="s">
        <v>1801</v>
      </c>
      <c r="F251" s="11" t="s">
        <v>1971</v>
      </c>
      <c r="G251" s="11" t="s">
        <v>1970</v>
      </c>
      <c r="H251" s="8" t="s">
        <v>151</v>
      </c>
      <c r="I251" s="12" t="s">
        <v>2735</v>
      </c>
      <c r="J251" s="25">
        <v>44579</v>
      </c>
      <c r="K251" s="25">
        <v>44944</v>
      </c>
      <c r="L251" s="26">
        <f t="shared" si="118"/>
        <v>85.000000000000014</v>
      </c>
      <c r="M251" s="11">
        <v>5</v>
      </c>
      <c r="N251" s="11" t="s">
        <v>592</v>
      </c>
      <c r="O251" s="11" t="s">
        <v>593</v>
      </c>
      <c r="P251" s="27" t="s">
        <v>174</v>
      </c>
      <c r="Q251" s="11" t="s">
        <v>34</v>
      </c>
      <c r="R251" s="1">
        <f t="shared" si="119"/>
        <v>352396.4</v>
      </c>
      <c r="S251" s="2">
        <v>352396.4</v>
      </c>
      <c r="T251" s="2">
        <v>0</v>
      </c>
      <c r="U251" s="1">
        <f t="shared" si="113"/>
        <v>53895.92</v>
      </c>
      <c r="V251" s="28">
        <v>53895.92</v>
      </c>
      <c r="W251" s="28">
        <v>0</v>
      </c>
      <c r="X251" s="1">
        <f t="shared" si="114"/>
        <v>8291.68</v>
      </c>
      <c r="Y251" s="2">
        <v>8291.68</v>
      </c>
      <c r="Z251" s="2">
        <v>0</v>
      </c>
      <c r="AA251" s="2">
        <f t="shared" si="115"/>
        <v>0</v>
      </c>
      <c r="AB251" s="2">
        <v>0</v>
      </c>
      <c r="AC251" s="2">
        <v>0</v>
      </c>
      <c r="AD251" s="16">
        <f t="shared" si="90"/>
        <v>414584</v>
      </c>
      <c r="AE251" s="2">
        <v>0</v>
      </c>
      <c r="AF251" s="2">
        <f t="shared" si="116"/>
        <v>414584</v>
      </c>
      <c r="AG251" s="38" t="s">
        <v>486</v>
      </c>
      <c r="AH251" s="29"/>
      <c r="AI251" s="30">
        <f>139884.5</f>
        <v>139884.5</v>
      </c>
      <c r="AJ251" s="30">
        <f>21394.1</f>
        <v>21394.1</v>
      </c>
    </row>
    <row r="252" spans="1:36" ht="290.25" customHeight="1" x14ac:dyDescent="0.25">
      <c r="A252" s="6">
        <v>249</v>
      </c>
      <c r="B252" s="11">
        <v>155028</v>
      </c>
      <c r="C252" s="11">
        <v>1196</v>
      </c>
      <c r="D252" s="9" t="s">
        <v>1638</v>
      </c>
      <c r="E252" s="24" t="s">
        <v>2012</v>
      </c>
      <c r="F252" s="11" t="s">
        <v>2077</v>
      </c>
      <c r="G252" s="11" t="s">
        <v>1970</v>
      </c>
      <c r="H252" s="8" t="s">
        <v>151</v>
      </c>
      <c r="I252" s="12" t="s">
        <v>2736</v>
      </c>
      <c r="J252" s="25">
        <v>44655</v>
      </c>
      <c r="K252" s="25">
        <v>45081</v>
      </c>
      <c r="L252" s="26">
        <f t="shared" si="118"/>
        <v>85.000000109368045</v>
      </c>
      <c r="M252" s="11">
        <v>5</v>
      </c>
      <c r="N252" s="11" t="s">
        <v>592</v>
      </c>
      <c r="O252" s="11" t="s">
        <v>593</v>
      </c>
      <c r="P252" s="27" t="s">
        <v>174</v>
      </c>
      <c r="Q252" s="11" t="s">
        <v>34</v>
      </c>
      <c r="R252" s="1">
        <f t="shared" si="119"/>
        <v>3885961.58</v>
      </c>
      <c r="S252" s="2">
        <v>3885961.58</v>
      </c>
      <c r="T252" s="2">
        <v>0</v>
      </c>
      <c r="U252" s="1">
        <f t="shared" si="113"/>
        <v>594323.53</v>
      </c>
      <c r="V252" s="28">
        <v>594323.53</v>
      </c>
      <c r="W252" s="28">
        <v>0</v>
      </c>
      <c r="X252" s="1">
        <f t="shared" si="114"/>
        <v>91434.39</v>
      </c>
      <c r="Y252" s="2">
        <v>91434.39</v>
      </c>
      <c r="Z252" s="2">
        <v>0</v>
      </c>
      <c r="AA252" s="2">
        <f t="shared" si="115"/>
        <v>0</v>
      </c>
      <c r="AB252" s="2">
        <v>0</v>
      </c>
      <c r="AC252" s="2">
        <v>0</v>
      </c>
      <c r="AD252" s="16">
        <f t="shared" si="90"/>
        <v>4571719.5</v>
      </c>
      <c r="AE252" s="2">
        <v>0</v>
      </c>
      <c r="AF252" s="2">
        <f t="shared" si="116"/>
        <v>4571719.5</v>
      </c>
      <c r="AG252" s="38" t="s">
        <v>486</v>
      </c>
      <c r="AH252" s="29"/>
      <c r="AI252" s="30">
        <v>0</v>
      </c>
      <c r="AJ252" s="30">
        <v>0</v>
      </c>
    </row>
    <row r="253" spans="1:36" ht="183.75" customHeight="1" x14ac:dyDescent="0.25">
      <c r="A253" s="6">
        <v>250</v>
      </c>
      <c r="B253" s="11">
        <v>155174</v>
      </c>
      <c r="C253" s="11">
        <v>1200</v>
      </c>
      <c r="D253" s="9" t="s">
        <v>1638</v>
      </c>
      <c r="E253" s="24" t="s">
        <v>2012</v>
      </c>
      <c r="F253" s="11" t="s">
        <v>2094</v>
      </c>
      <c r="G253" s="11" t="s">
        <v>930</v>
      </c>
      <c r="H253" s="8" t="s">
        <v>151</v>
      </c>
      <c r="I253" s="12" t="s">
        <v>2737</v>
      </c>
      <c r="J253" s="25">
        <v>44656</v>
      </c>
      <c r="K253" s="25">
        <v>45143</v>
      </c>
      <c r="L253" s="26">
        <f t="shared" si="118"/>
        <v>85</v>
      </c>
      <c r="M253" s="11">
        <v>5</v>
      </c>
      <c r="N253" s="11" t="s">
        <v>592</v>
      </c>
      <c r="O253" s="11" t="s">
        <v>592</v>
      </c>
      <c r="P253" s="27" t="s">
        <v>174</v>
      </c>
      <c r="Q253" s="11" t="s">
        <v>34</v>
      </c>
      <c r="R253" s="1">
        <f t="shared" si="119"/>
        <v>2540645.75</v>
      </c>
      <c r="S253" s="2">
        <v>2540645.75</v>
      </c>
      <c r="T253" s="2">
        <v>0</v>
      </c>
      <c r="U253" s="1">
        <f t="shared" si="113"/>
        <v>388569.35</v>
      </c>
      <c r="V253" s="28">
        <v>388569.35</v>
      </c>
      <c r="W253" s="28">
        <v>0</v>
      </c>
      <c r="X253" s="1">
        <f t="shared" si="114"/>
        <v>59779.9</v>
      </c>
      <c r="Y253" s="2">
        <v>59779.9</v>
      </c>
      <c r="Z253" s="2">
        <v>0</v>
      </c>
      <c r="AA253" s="2">
        <f t="shared" si="115"/>
        <v>0</v>
      </c>
      <c r="AB253" s="2">
        <v>0</v>
      </c>
      <c r="AC253" s="2">
        <v>0</v>
      </c>
      <c r="AD253" s="16">
        <f t="shared" si="90"/>
        <v>2988995</v>
      </c>
      <c r="AE253" s="2">
        <v>0</v>
      </c>
      <c r="AF253" s="2">
        <f t="shared" si="116"/>
        <v>2988995</v>
      </c>
      <c r="AG253" s="38" t="s">
        <v>486</v>
      </c>
      <c r="AH253" s="29"/>
      <c r="AI253" s="30">
        <v>10266.51</v>
      </c>
      <c r="AJ253" s="30">
        <v>1570.17</v>
      </c>
    </row>
    <row r="254" spans="1:36" ht="183.75" customHeight="1" x14ac:dyDescent="0.25">
      <c r="A254" s="6">
        <v>251</v>
      </c>
      <c r="B254" s="11">
        <v>153860</v>
      </c>
      <c r="C254" s="11">
        <v>1206</v>
      </c>
      <c r="D254" s="9" t="s">
        <v>1638</v>
      </c>
      <c r="E254" s="24" t="s">
        <v>2012</v>
      </c>
      <c r="F254" s="11" t="s">
        <v>2188</v>
      </c>
      <c r="G254" s="11" t="s">
        <v>591</v>
      </c>
      <c r="H254" s="8" t="s">
        <v>151</v>
      </c>
      <c r="I254" s="12" t="s">
        <v>2738</v>
      </c>
      <c r="J254" s="25">
        <v>44686</v>
      </c>
      <c r="K254" s="25">
        <v>45051</v>
      </c>
      <c r="L254" s="26">
        <f t="shared" si="118"/>
        <v>85.000001439178192</v>
      </c>
      <c r="M254" s="11">
        <v>5</v>
      </c>
      <c r="N254" s="11" t="s">
        <v>592</v>
      </c>
      <c r="O254" s="11" t="s">
        <v>593</v>
      </c>
      <c r="P254" s="27" t="s">
        <v>174</v>
      </c>
      <c r="Q254" s="11" t="s">
        <v>34</v>
      </c>
      <c r="R254" s="1">
        <f t="shared" si="119"/>
        <v>295307.43</v>
      </c>
      <c r="S254" s="2">
        <v>295307.43</v>
      </c>
      <c r="T254" s="2">
        <v>0</v>
      </c>
      <c r="U254" s="1">
        <f t="shared" si="113"/>
        <v>45164.66</v>
      </c>
      <c r="V254" s="28">
        <v>45164.66</v>
      </c>
      <c r="W254" s="28">
        <v>0</v>
      </c>
      <c r="X254" s="1">
        <f t="shared" si="114"/>
        <v>6948.41</v>
      </c>
      <c r="Y254" s="2">
        <v>6948.41</v>
      </c>
      <c r="Z254" s="2">
        <v>0</v>
      </c>
      <c r="AA254" s="2">
        <f t="shared" si="115"/>
        <v>0</v>
      </c>
      <c r="AB254" s="2">
        <v>0</v>
      </c>
      <c r="AC254" s="2">
        <v>0</v>
      </c>
      <c r="AD254" s="16">
        <f t="shared" si="90"/>
        <v>347420.49999999994</v>
      </c>
      <c r="AE254" s="2">
        <v>0</v>
      </c>
      <c r="AF254" s="2">
        <f t="shared" si="116"/>
        <v>347420.49999999994</v>
      </c>
      <c r="AG254" s="38" t="s">
        <v>486</v>
      </c>
      <c r="AH254" s="29"/>
      <c r="AI254" s="30">
        <v>0</v>
      </c>
      <c r="AJ254" s="30">
        <v>0</v>
      </c>
    </row>
    <row r="255" spans="1:36" ht="183.75" customHeight="1" x14ac:dyDescent="0.25">
      <c r="A255" s="6">
        <v>252</v>
      </c>
      <c r="B255" s="11">
        <v>155193</v>
      </c>
      <c r="C255" s="11">
        <v>1242</v>
      </c>
      <c r="D255" s="9" t="s">
        <v>1638</v>
      </c>
      <c r="E255" s="24" t="s">
        <v>2012</v>
      </c>
      <c r="F255" s="11" t="s">
        <v>2212</v>
      </c>
      <c r="G255" s="11" t="s">
        <v>1497</v>
      </c>
      <c r="H255" s="8" t="s">
        <v>151</v>
      </c>
      <c r="I255" s="12" t="s">
        <v>2739</v>
      </c>
      <c r="J255" s="25">
        <v>44698</v>
      </c>
      <c r="K255" s="25">
        <v>45063</v>
      </c>
      <c r="L255" s="26">
        <f t="shared" si="118"/>
        <v>84.999999386047151</v>
      </c>
      <c r="M255" s="11">
        <v>5</v>
      </c>
      <c r="N255" s="11" t="s">
        <v>592</v>
      </c>
      <c r="O255" s="11" t="s">
        <v>1418</v>
      </c>
      <c r="P255" s="27" t="s">
        <v>174</v>
      </c>
      <c r="Q255" s="11" t="s">
        <v>34</v>
      </c>
      <c r="R255" s="1">
        <f t="shared" si="119"/>
        <v>276894.23</v>
      </c>
      <c r="S255" s="2">
        <v>276894.23</v>
      </c>
      <c r="T255" s="2">
        <v>0</v>
      </c>
      <c r="U255" s="1">
        <f t="shared" si="113"/>
        <v>42348.54</v>
      </c>
      <c r="V255" s="28">
        <v>42348.54</v>
      </c>
      <c r="W255" s="28">
        <v>0</v>
      </c>
      <c r="X255" s="1">
        <f t="shared" si="114"/>
        <v>6515.15</v>
      </c>
      <c r="Y255" s="2">
        <v>6515.15</v>
      </c>
      <c r="Z255" s="2">
        <v>0</v>
      </c>
      <c r="AA255" s="2">
        <f t="shared" si="115"/>
        <v>0</v>
      </c>
      <c r="AB255" s="2">
        <v>0</v>
      </c>
      <c r="AC255" s="2">
        <v>0</v>
      </c>
      <c r="AD255" s="16">
        <f t="shared" si="90"/>
        <v>325757.92</v>
      </c>
      <c r="AE255" s="2">
        <v>0</v>
      </c>
      <c r="AF255" s="2">
        <f t="shared" si="116"/>
        <v>325757.92</v>
      </c>
      <c r="AG255" s="38" t="s">
        <v>486</v>
      </c>
      <c r="AH255" s="29"/>
      <c r="AI255" s="30">
        <f>32575.79+22113.41</f>
        <v>54689.2</v>
      </c>
      <c r="AJ255" s="30">
        <f>3382.05</f>
        <v>3382.05</v>
      </c>
    </row>
    <row r="256" spans="1:36" ht="183.75" customHeight="1" x14ac:dyDescent="0.25">
      <c r="A256" s="6">
        <v>253</v>
      </c>
      <c r="B256" s="11">
        <v>154637</v>
      </c>
      <c r="C256" s="11">
        <v>1224</v>
      </c>
      <c r="D256" s="9" t="s">
        <v>1638</v>
      </c>
      <c r="E256" s="24" t="s">
        <v>2012</v>
      </c>
      <c r="F256" s="11" t="s">
        <v>1027</v>
      </c>
      <c r="G256" s="11" t="s">
        <v>1111</v>
      </c>
      <c r="H256" s="8" t="s">
        <v>151</v>
      </c>
      <c r="I256" s="12" t="s">
        <v>2740</v>
      </c>
      <c r="J256" s="25">
        <v>44712</v>
      </c>
      <c r="K256" s="25">
        <v>45199</v>
      </c>
      <c r="L256" s="26">
        <f t="shared" si="118"/>
        <v>84.999999946706311</v>
      </c>
      <c r="M256" s="11">
        <v>5</v>
      </c>
      <c r="N256" s="11" t="s">
        <v>592</v>
      </c>
      <c r="O256" s="11" t="s">
        <v>1113</v>
      </c>
      <c r="P256" s="27" t="s">
        <v>174</v>
      </c>
      <c r="Q256" s="11" t="s">
        <v>34</v>
      </c>
      <c r="R256" s="1">
        <f t="shared" si="119"/>
        <v>3189870.58</v>
      </c>
      <c r="S256" s="2">
        <v>3189870.58</v>
      </c>
      <c r="T256" s="2">
        <v>0</v>
      </c>
      <c r="U256" s="1">
        <f t="shared" si="113"/>
        <v>487862.55</v>
      </c>
      <c r="V256" s="28">
        <v>487862.55</v>
      </c>
      <c r="W256" s="28">
        <v>0</v>
      </c>
      <c r="X256" s="1">
        <f t="shared" si="114"/>
        <v>75055.789999999994</v>
      </c>
      <c r="Y256" s="2">
        <v>75055.789999999994</v>
      </c>
      <c r="Z256" s="2">
        <v>0</v>
      </c>
      <c r="AA256" s="2">
        <f t="shared" si="115"/>
        <v>0</v>
      </c>
      <c r="AB256" s="2">
        <v>0</v>
      </c>
      <c r="AC256" s="2">
        <v>0</v>
      </c>
      <c r="AD256" s="16">
        <f t="shared" si="90"/>
        <v>3752788.92</v>
      </c>
      <c r="AE256" s="2">
        <v>0</v>
      </c>
      <c r="AF256" s="2">
        <f t="shared" si="116"/>
        <v>3752788.92</v>
      </c>
      <c r="AG256" s="38" t="s">
        <v>486</v>
      </c>
      <c r="AH256" s="29"/>
      <c r="AI256" s="30">
        <v>0</v>
      </c>
      <c r="AJ256" s="30">
        <v>0</v>
      </c>
    </row>
    <row r="257" spans="1:36" ht="173.25" x14ac:dyDescent="0.25">
      <c r="A257" s="6">
        <v>254</v>
      </c>
      <c r="B257" s="31">
        <v>120482</v>
      </c>
      <c r="C257" s="11">
        <v>68</v>
      </c>
      <c r="D257" s="9" t="s">
        <v>1638</v>
      </c>
      <c r="E257" s="24" t="s">
        <v>277</v>
      </c>
      <c r="F257" s="11" t="s">
        <v>235</v>
      </c>
      <c r="G257" s="11" t="s">
        <v>238</v>
      </c>
      <c r="H257" s="8" t="s">
        <v>151</v>
      </c>
      <c r="I257" s="46" t="s">
        <v>239</v>
      </c>
      <c r="J257" s="25">
        <v>43145</v>
      </c>
      <c r="K257" s="25">
        <v>43630</v>
      </c>
      <c r="L257" s="26">
        <f t="shared" ref="L257:L269" si="120">R257/AD257*100</f>
        <v>85</v>
      </c>
      <c r="M257" s="11">
        <v>3</v>
      </c>
      <c r="N257" s="11" t="s">
        <v>240</v>
      </c>
      <c r="O257" s="11" t="s">
        <v>241</v>
      </c>
      <c r="P257" s="27" t="s">
        <v>174</v>
      </c>
      <c r="Q257" s="11" t="s">
        <v>34</v>
      </c>
      <c r="R257" s="2">
        <f t="shared" ref="R257:R262" si="121">S257+T257</f>
        <v>508342.5</v>
      </c>
      <c r="S257" s="57">
        <v>508342.5</v>
      </c>
      <c r="T257" s="2">
        <v>0</v>
      </c>
      <c r="U257" s="1">
        <f t="shared" ref="U257:U269" si="122">V257+W257</f>
        <v>77746.5</v>
      </c>
      <c r="V257" s="28">
        <v>77746.5</v>
      </c>
      <c r="W257" s="28">
        <v>0</v>
      </c>
      <c r="X257" s="1">
        <f t="shared" ref="X257:X269" si="123">Y257+Z257</f>
        <v>11961</v>
      </c>
      <c r="Y257" s="2">
        <v>11961</v>
      </c>
      <c r="Z257" s="2">
        <v>0</v>
      </c>
      <c r="AA257" s="2">
        <f>AB257+AC257</f>
        <v>0</v>
      </c>
      <c r="AB257" s="2">
        <v>0</v>
      </c>
      <c r="AC257" s="2">
        <v>0</v>
      </c>
      <c r="AD257" s="16">
        <f t="shared" si="90"/>
        <v>598050</v>
      </c>
      <c r="AE257" s="2">
        <v>0</v>
      </c>
      <c r="AF257" s="2">
        <f t="shared" ref="AF257:AF269" si="124">AD257+AE257</f>
        <v>598050</v>
      </c>
      <c r="AG257" s="21" t="s">
        <v>857</v>
      </c>
      <c r="AH257" s="29"/>
      <c r="AI257" s="30">
        <v>385296.94</v>
      </c>
      <c r="AJ257" s="30">
        <v>58927.729999999996</v>
      </c>
    </row>
    <row r="258" spans="1:36" ht="330.75" x14ac:dyDescent="0.25">
      <c r="A258" s="6">
        <v>255</v>
      </c>
      <c r="B258" s="31">
        <v>122108</v>
      </c>
      <c r="C258" s="11">
        <v>83</v>
      </c>
      <c r="D258" s="9" t="s">
        <v>1638</v>
      </c>
      <c r="E258" s="24" t="s">
        <v>277</v>
      </c>
      <c r="F258" s="11" t="s">
        <v>390</v>
      </c>
      <c r="G258" s="11" t="s">
        <v>1134</v>
      </c>
      <c r="H258" s="8" t="s">
        <v>151</v>
      </c>
      <c r="I258" s="46" t="s">
        <v>435</v>
      </c>
      <c r="J258" s="25">
        <v>43234</v>
      </c>
      <c r="K258" s="25">
        <v>43722</v>
      </c>
      <c r="L258" s="26">
        <f t="shared" si="120"/>
        <v>84.999995128143141</v>
      </c>
      <c r="M258" s="11">
        <v>3</v>
      </c>
      <c r="N258" s="11" t="s">
        <v>240</v>
      </c>
      <c r="O258" s="11" t="s">
        <v>391</v>
      </c>
      <c r="P258" s="27" t="s">
        <v>174</v>
      </c>
      <c r="Q258" s="11" t="s">
        <v>34</v>
      </c>
      <c r="R258" s="2">
        <f t="shared" si="121"/>
        <v>322772.19</v>
      </c>
      <c r="S258" s="39">
        <v>322772.19</v>
      </c>
      <c r="T258" s="109">
        <v>0</v>
      </c>
      <c r="U258" s="1">
        <f t="shared" si="122"/>
        <v>49365.18</v>
      </c>
      <c r="V258" s="28">
        <v>49365.18</v>
      </c>
      <c r="W258" s="28">
        <v>0</v>
      </c>
      <c r="X258" s="1">
        <f t="shared" si="123"/>
        <v>7594.64</v>
      </c>
      <c r="Y258" s="2">
        <v>7594.64</v>
      </c>
      <c r="Z258" s="2">
        <v>0</v>
      </c>
      <c r="AA258" s="2">
        <f>AB258+AC258</f>
        <v>0</v>
      </c>
      <c r="AB258" s="2">
        <v>0</v>
      </c>
      <c r="AC258" s="2">
        <v>0</v>
      </c>
      <c r="AD258" s="16">
        <f t="shared" si="90"/>
        <v>379732.01</v>
      </c>
      <c r="AE258" s="2">
        <v>55635.199999999997</v>
      </c>
      <c r="AF258" s="2">
        <f t="shared" si="124"/>
        <v>435367.21</v>
      </c>
      <c r="AG258" s="21" t="s">
        <v>857</v>
      </c>
      <c r="AH258" s="29" t="s">
        <v>1095</v>
      </c>
      <c r="AI258" s="30">
        <v>218039.20999999996</v>
      </c>
      <c r="AJ258" s="30">
        <v>33347.15</v>
      </c>
    </row>
    <row r="259" spans="1:36" ht="204.75" x14ac:dyDescent="0.25">
      <c r="A259" s="6">
        <v>256</v>
      </c>
      <c r="B259" s="31">
        <v>118782</v>
      </c>
      <c r="C259" s="11">
        <v>444</v>
      </c>
      <c r="D259" s="32" t="s">
        <v>1639</v>
      </c>
      <c r="E259" s="24" t="s">
        <v>507</v>
      </c>
      <c r="F259" s="11" t="s">
        <v>674</v>
      </c>
      <c r="G259" s="11" t="s">
        <v>1089</v>
      </c>
      <c r="H259" s="11"/>
      <c r="I259" s="33" t="s">
        <v>673</v>
      </c>
      <c r="J259" s="25">
        <v>43304</v>
      </c>
      <c r="K259" s="25">
        <v>43792</v>
      </c>
      <c r="L259" s="26">
        <f t="shared" si="120"/>
        <v>85</v>
      </c>
      <c r="M259" s="40">
        <v>3</v>
      </c>
      <c r="N259" s="11" t="s">
        <v>240</v>
      </c>
      <c r="O259" s="11" t="s">
        <v>675</v>
      </c>
      <c r="P259" s="27" t="s">
        <v>174</v>
      </c>
      <c r="Q259" s="11" t="s">
        <v>34</v>
      </c>
      <c r="R259" s="2">
        <f t="shared" si="121"/>
        <v>242091.39</v>
      </c>
      <c r="S259" s="37">
        <v>242091.39</v>
      </c>
      <c r="T259" s="36">
        <v>0</v>
      </c>
      <c r="U259" s="1">
        <f t="shared" si="122"/>
        <v>37025.74</v>
      </c>
      <c r="V259" s="42">
        <v>37025.74</v>
      </c>
      <c r="W259" s="55">
        <v>0</v>
      </c>
      <c r="X259" s="1">
        <f t="shared" si="123"/>
        <v>5696.27</v>
      </c>
      <c r="Y259" s="30">
        <v>5696.27</v>
      </c>
      <c r="Z259" s="30">
        <v>0</v>
      </c>
      <c r="AA259" s="2">
        <f>AB259+AC259</f>
        <v>0</v>
      </c>
      <c r="AB259" s="34">
        <v>0</v>
      </c>
      <c r="AC259" s="34">
        <v>0</v>
      </c>
      <c r="AD259" s="16">
        <f t="shared" si="90"/>
        <v>284813.40000000002</v>
      </c>
      <c r="AE259" s="51">
        <v>0</v>
      </c>
      <c r="AF259" s="2">
        <f t="shared" si="124"/>
        <v>284813.40000000002</v>
      </c>
      <c r="AG259" s="21" t="s">
        <v>857</v>
      </c>
      <c r="AH259" s="35" t="s">
        <v>1183</v>
      </c>
      <c r="AI259" s="30">
        <v>218691.65000000002</v>
      </c>
      <c r="AJ259" s="30">
        <v>33446.97</v>
      </c>
    </row>
    <row r="260" spans="1:36" s="43" customFormat="1" ht="237.75" customHeight="1" x14ac:dyDescent="0.25">
      <c r="A260" s="6">
        <v>257</v>
      </c>
      <c r="B260" s="31">
        <v>118562</v>
      </c>
      <c r="C260" s="11">
        <v>430</v>
      </c>
      <c r="D260" s="32" t="s">
        <v>1639</v>
      </c>
      <c r="E260" s="24" t="s">
        <v>507</v>
      </c>
      <c r="F260" s="11" t="s">
        <v>717</v>
      </c>
      <c r="G260" s="11" t="s">
        <v>718</v>
      </c>
      <c r="H260" s="8" t="s">
        <v>151</v>
      </c>
      <c r="I260" s="33" t="s">
        <v>719</v>
      </c>
      <c r="J260" s="25">
        <v>43318</v>
      </c>
      <c r="K260" s="25">
        <v>43683</v>
      </c>
      <c r="L260" s="26">
        <f t="shared" si="120"/>
        <v>85</v>
      </c>
      <c r="M260" s="40">
        <v>3</v>
      </c>
      <c r="N260" s="11" t="s">
        <v>240</v>
      </c>
      <c r="O260" s="11" t="s">
        <v>241</v>
      </c>
      <c r="P260" s="27" t="s">
        <v>174</v>
      </c>
      <c r="Q260" s="11" t="s">
        <v>34</v>
      </c>
      <c r="R260" s="2">
        <f t="shared" si="121"/>
        <v>244199.22</v>
      </c>
      <c r="S260" s="37">
        <v>244199.22</v>
      </c>
      <c r="T260" s="36">
        <v>0</v>
      </c>
      <c r="U260" s="1">
        <f t="shared" si="122"/>
        <v>37348.11</v>
      </c>
      <c r="V260" s="42">
        <v>37348.11</v>
      </c>
      <c r="W260" s="55">
        <v>0</v>
      </c>
      <c r="X260" s="1">
        <f t="shared" si="123"/>
        <v>5745.87</v>
      </c>
      <c r="Y260" s="30">
        <v>5745.87</v>
      </c>
      <c r="Z260" s="30">
        <v>0</v>
      </c>
      <c r="AB260" s="36">
        <v>0</v>
      </c>
      <c r="AC260" s="36">
        <v>0</v>
      </c>
      <c r="AD260" s="16">
        <f t="shared" si="90"/>
        <v>287293.2</v>
      </c>
      <c r="AE260" s="35">
        <v>0</v>
      </c>
      <c r="AF260" s="2">
        <f t="shared" si="124"/>
        <v>287293.2</v>
      </c>
      <c r="AG260" s="21" t="s">
        <v>857</v>
      </c>
      <c r="AH260" s="35"/>
      <c r="AI260" s="30">
        <v>187221.18</v>
      </c>
      <c r="AJ260" s="30">
        <v>28633.829999999994</v>
      </c>
    </row>
    <row r="261" spans="1:36" s="43" customFormat="1" ht="237.75" customHeight="1" x14ac:dyDescent="0.25">
      <c r="A261" s="6">
        <v>258</v>
      </c>
      <c r="B261" s="31">
        <v>128788</v>
      </c>
      <c r="C261" s="11">
        <v>632</v>
      </c>
      <c r="D261" s="9" t="s">
        <v>1638</v>
      </c>
      <c r="E261" s="24" t="s">
        <v>1071</v>
      </c>
      <c r="F261" s="11" t="s">
        <v>1092</v>
      </c>
      <c r="G261" s="11" t="s">
        <v>1089</v>
      </c>
      <c r="H261" s="8" t="s">
        <v>151</v>
      </c>
      <c r="I261" s="33" t="s">
        <v>1091</v>
      </c>
      <c r="J261" s="25">
        <v>43622</v>
      </c>
      <c r="K261" s="25">
        <v>44626</v>
      </c>
      <c r="L261" s="26">
        <f t="shared" si="120"/>
        <v>85.000000230035937</v>
      </c>
      <c r="M261" s="40">
        <v>3</v>
      </c>
      <c r="N261" s="11" t="s">
        <v>240</v>
      </c>
      <c r="O261" s="11" t="s">
        <v>1090</v>
      </c>
      <c r="P261" s="27" t="s">
        <v>174</v>
      </c>
      <c r="Q261" s="11" t="s">
        <v>34</v>
      </c>
      <c r="R261" s="2">
        <f t="shared" si="121"/>
        <v>1847537.48</v>
      </c>
      <c r="S261" s="37">
        <v>1847537.48</v>
      </c>
      <c r="T261" s="36">
        <v>0</v>
      </c>
      <c r="U261" s="1">
        <f t="shared" si="122"/>
        <v>282564.55</v>
      </c>
      <c r="V261" s="42">
        <v>282564.55</v>
      </c>
      <c r="W261" s="55">
        <v>0</v>
      </c>
      <c r="X261" s="1">
        <f t="shared" si="123"/>
        <v>43471.47</v>
      </c>
      <c r="Y261" s="30">
        <v>43471.47</v>
      </c>
      <c r="Z261" s="30">
        <v>0</v>
      </c>
      <c r="AA261" s="30">
        <f t="shared" ref="AA261:AA268" si="125">AB261+AC261</f>
        <v>0</v>
      </c>
      <c r="AB261" s="36">
        <v>0</v>
      </c>
      <c r="AC261" s="36">
        <v>0</v>
      </c>
      <c r="AD261" s="16">
        <f t="shared" ref="AD261:AD324" si="126">R261+U261+X261+AA261</f>
        <v>2173573.5</v>
      </c>
      <c r="AE261" s="35">
        <v>0</v>
      </c>
      <c r="AF261" s="2">
        <f t="shared" si="124"/>
        <v>2173573.5</v>
      </c>
      <c r="AG261" s="38" t="s">
        <v>857</v>
      </c>
      <c r="AH261" s="38" t="s">
        <v>1748</v>
      </c>
      <c r="AI261" s="30">
        <f>159761.73+205286.29-12744.7-6213.9+144175.74-19413.29+1122259.25-5941.52+167659.17-3136.51</f>
        <v>1751692.26</v>
      </c>
      <c r="AJ261" s="30">
        <f>14235.89+8544.38+12744.7+6213.9+19413.29+171639.65+5941.52+26036.01+3136.51</f>
        <v>267905.84999999998</v>
      </c>
    </row>
    <row r="262" spans="1:36" s="43" customFormat="1" ht="232.5" customHeight="1" x14ac:dyDescent="0.25">
      <c r="A262" s="6">
        <v>259</v>
      </c>
      <c r="B262" s="31">
        <v>129218</v>
      </c>
      <c r="C262" s="11">
        <v>645</v>
      </c>
      <c r="D262" s="9" t="s">
        <v>1638</v>
      </c>
      <c r="E262" s="24" t="s">
        <v>1071</v>
      </c>
      <c r="F262" s="70" t="s">
        <v>1133</v>
      </c>
      <c r="G262" s="11" t="s">
        <v>1134</v>
      </c>
      <c r="H262" s="8" t="s">
        <v>151</v>
      </c>
      <c r="I262" s="33" t="s">
        <v>2741</v>
      </c>
      <c r="J262" s="25">
        <v>43643</v>
      </c>
      <c r="K262" s="25">
        <v>44282</v>
      </c>
      <c r="L262" s="26">
        <f t="shared" si="120"/>
        <v>84.999999707660962</v>
      </c>
      <c r="M262" s="40">
        <v>3</v>
      </c>
      <c r="N262" s="11" t="s">
        <v>240</v>
      </c>
      <c r="O262" s="11" t="s">
        <v>391</v>
      </c>
      <c r="P262" s="27" t="s">
        <v>174</v>
      </c>
      <c r="Q262" s="11" t="s">
        <v>34</v>
      </c>
      <c r="R262" s="2">
        <f t="shared" si="121"/>
        <v>2326066.37</v>
      </c>
      <c r="S262" s="37">
        <v>2326066.37</v>
      </c>
      <c r="T262" s="36">
        <v>0</v>
      </c>
      <c r="U262" s="1">
        <f t="shared" si="122"/>
        <v>355751.33</v>
      </c>
      <c r="V262" s="42">
        <v>355751.33</v>
      </c>
      <c r="W262" s="55">
        <v>0</v>
      </c>
      <c r="X262" s="1">
        <f t="shared" si="123"/>
        <v>54730.98</v>
      </c>
      <c r="Y262" s="30">
        <v>54730.98</v>
      </c>
      <c r="Z262" s="30">
        <v>0</v>
      </c>
      <c r="AA262" s="30">
        <f t="shared" si="125"/>
        <v>0</v>
      </c>
      <c r="AB262" s="36">
        <v>0</v>
      </c>
      <c r="AC262" s="36">
        <v>0</v>
      </c>
      <c r="AD262" s="16">
        <f t="shared" si="126"/>
        <v>2736548.68</v>
      </c>
      <c r="AE262" s="35">
        <v>0</v>
      </c>
      <c r="AF262" s="2">
        <f t="shared" si="124"/>
        <v>2736548.68</v>
      </c>
      <c r="AG262" s="38" t="s">
        <v>857</v>
      </c>
      <c r="AH262" s="38" t="s">
        <v>1688</v>
      </c>
      <c r="AI262" s="30">
        <f>1079226.9+25907.15+1092653.83+34194.23</f>
        <v>2231982.11</v>
      </c>
      <c r="AJ262" s="30">
        <f>165058.24+3962.27+167111.76+5229.7</f>
        <v>341361.97000000003</v>
      </c>
    </row>
    <row r="263" spans="1:36" s="43" customFormat="1" ht="175.5" customHeight="1" x14ac:dyDescent="0.25">
      <c r="A263" s="6">
        <v>260</v>
      </c>
      <c r="B263" s="31">
        <v>136346</v>
      </c>
      <c r="C263" s="11">
        <v>803</v>
      </c>
      <c r="D263" s="9" t="s">
        <v>1638</v>
      </c>
      <c r="E263" s="24" t="s">
        <v>1441</v>
      </c>
      <c r="F263" s="31" t="s">
        <v>1444</v>
      </c>
      <c r="G263" s="11" t="s">
        <v>1134</v>
      </c>
      <c r="H263" s="8" t="s">
        <v>151</v>
      </c>
      <c r="I263" s="12" t="s">
        <v>2742</v>
      </c>
      <c r="J263" s="25">
        <v>43949</v>
      </c>
      <c r="K263" s="25">
        <v>44740</v>
      </c>
      <c r="L263" s="26">
        <f t="shared" si="120"/>
        <v>84.999999931876232</v>
      </c>
      <c r="M263" s="11">
        <v>3</v>
      </c>
      <c r="N263" s="11" t="s">
        <v>240</v>
      </c>
      <c r="O263" s="11" t="s">
        <v>391</v>
      </c>
      <c r="P263" s="27" t="s">
        <v>174</v>
      </c>
      <c r="Q263" s="11" t="s">
        <v>34</v>
      </c>
      <c r="R263" s="2">
        <f t="shared" ref="R263:R269" si="127">S263+T263</f>
        <v>2495457.98</v>
      </c>
      <c r="S263" s="2">
        <v>2495457.98</v>
      </c>
      <c r="T263" s="2">
        <v>0</v>
      </c>
      <c r="U263" s="1">
        <f t="shared" si="122"/>
        <v>381658.28</v>
      </c>
      <c r="V263" s="28">
        <v>381658.28</v>
      </c>
      <c r="W263" s="28">
        <v>0</v>
      </c>
      <c r="X263" s="1">
        <f t="shared" si="123"/>
        <v>58716.66</v>
      </c>
      <c r="Y263" s="2">
        <v>58716.66</v>
      </c>
      <c r="Z263" s="2">
        <v>0</v>
      </c>
      <c r="AA263" s="2">
        <f t="shared" si="125"/>
        <v>0</v>
      </c>
      <c r="AB263" s="2">
        <v>0</v>
      </c>
      <c r="AC263" s="2">
        <v>0</v>
      </c>
      <c r="AD263" s="16">
        <f t="shared" si="126"/>
        <v>2935832.92</v>
      </c>
      <c r="AE263" s="2">
        <v>0</v>
      </c>
      <c r="AF263" s="2">
        <f t="shared" si="124"/>
        <v>2935832.92</v>
      </c>
      <c r="AG263" s="38" t="s">
        <v>857</v>
      </c>
      <c r="AH263" s="38" t="s">
        <v>2149</v>
      </c>
      <c r="AI263" s="30">
        <f>55951.7+71473.21+23932.81+846333.53+655578.65+7974.7+25692.95+672613.26+56195.62</f>
        <v>2415746.4299999997</v>
      </c>
      <c r="AJ263" s="30">
        <f>8557.32+10931.2+3660.31+129439.24+100264.97+1219.66+3929.51+102870.26+8594.63</f>
        <v>369467.10000000003</v>
      </c>
    </row>
    <row r="264" spans="1:36" s="43" customFormat="1" ht="175.5" customHeight="1" x14ac:dyDescent="0.25">
      <c r="A264" s="6">
        <v>261</v>
      </c>
      <c r="B264" s="31">
        <v>135154</v>
      </c>
      <c r="C264" s="11">
        <v>800</v>
      </c>
      <c r="D264" s="9" t="s">
        <v>1638</v>
      </c>
      <c r="E264" s="24" t="s">
        <v>1441</v>
      </c>
      <c r="F264" s="31" t="s">
        <v>1480</v>
      </c>
      <c r="G264" s="11" t="s">
        <v>718</v>
      </c>
      <c r="H264" s="8" t="s">
        <v>151</v>
      </c>
      <c r="I264" s="12" t="s">
        <v>2743</v>
      </c>
      <c r="J264" s="25">
        <v>43969</v>
      </c>
      <c r="K264" s="25">
        <v>45278</v>
      </c>
      <c r="L264" s="26">
        <f t="shared" si="120"/>
        <v>85</v>
      </c>
      <c r="M264" s="11">
        <v>3</v>
      </c>
      <c r="N264" s="11" t="s">
        <v>240</v>
      </c>
      <c r="O264" s="11" t="s">
        <v>241</v>
      </c>
      <c r="P264" s="27" t="s">
        <v>174</v>
      </c>
      <c r="Q264" s="11" t="s">
        <v>34</v>
      </c>
      <c r="R264" s="2">
        <f t="shared" si="127"/>
        <v>1599713.6</v>
      </c>
      <c r="S264" s="2">
        <v>1599713.6</v>
      </c>
      <c r="T264" s="2">
        <v>0</v>
      </c>
      <c r="U264" s="1">
        <f t="shared" si="122"/>
        <v>244662.08</v>
      </c>
      <c r="V264" s="28">
        <v>244662.08</v>
      </c>
      <c r="W264" s="28">
        <v>0</v>
      </c>
      <c r="X264" s="1">
        <f t="shared" si="123"/>
        <v>37640.32</v>
      </c>
      <c r="Y264" s="2">
        <v>37640.32</v>
      </c>
      <c r="Z264" s="2">
        <v>0</v>
      </c>
      <c r="AA264" s="2">
        <f t="shared" si="125"/>
        <v>0</v>
      </c>
      <c r="AB264" s="2">
        <v>0</v>
      </c>
      <c r="AC264" s="2">
        <v>0</v>
      </c>
      <c r="AD264" s="16">
        <f t="shared" si="126"/>
        <v>1882016.0000000002</v>
      </c>
      <c r="AE264" s="2">
        <v>0</v>
      </c>
      <c r="AF264" s="2">
        <f t="shared" si="124"/>
        <v>1882016.0000000002</v>
      </c>
      <c r="AG264" s="38" t="s">
        <v>486</v>
      </c>
      <c r="AH264" s="38" t="s">
        <v>1953</v>
      </c>
      <c r="AI264" s="30">
        <v>2551.5</v>
      </c>
      <c r="AJ264" s="30">
        <v>390.23</v>
      </c>
    </row>
    <row r="265" spans="1:36" s="43" customFormat="1" ht="175.5" customHeight="1" x14ac:dyDescent="0.25">
      <c r="A265" s="6">
        <v>262</v>
      </c>
      <c r="B265" s="31">
        <v>135954</v>
      </c>
      <c r="C265" s="11">
        <v>801</v>
      </c>
      <c r="D265" s="9" t="s">
        <v>1638</v>
      </c>
      <c r="E265" s="24" t="s">
        <v>1441</v>
      </c>
      <c r="F265" s="31" t="s">
        <v>1481</v>
      </c>
      <c r="G265" s="11" t="s">
        <v>1482</v>
      </c>
      <c r="H265" s="8" t="s">
        <v>151</v>
      </c>
      <c r="I265" s="12" t="s">
        <v>1483</v>
      </c>
      <c r="J265" s="25">
        <v>43969</v>
      </c>
      <c r="K265" s="25">
        <v>44822</v>
      </c>
      <c r="L265" s="26">
        <f t="shared" si="120"/>
        <v>84.999999779520635</v>
      </c>
      <c r="M265" s="11">
        <v>3</v>
      </c>
      <c r="N265" s="11" t="s">
        <v>240</v>
      </c>
      <c r="O265" s="11" t="s">
        <v>1445</v>
      </c>
      <c r="P265" s="27" t="s">
        <v>174</v>
      </c>
      <c r="Q265" s="11" t="s">
        <v>34</v>
      </c>
      <c r="R265" s="2">
        <f t="shared" si="127"/>
        <v>1927618.01</v>
      </c>
      <c r="S265" s="2">
        <v>1927618.01</v>
      </c>
      <c r="T265" s="2">
        <v>0</v>
      </c>
      <c r="U265" s="1">
        <f t="shared" si="122"/>
        <v>294812.18</v>
      </c>
      <c r="V265" s="28">
        <v>294812.18</v>
      </c>
      <c r="W265" s="28">
        <v>0</v>
      </c>
      <c r="X265" s="1">
        <f t="shared" si="123"/>
        <v>45355.71</v>
      </c>
      <c r="Y265" s="2">
        <v>45355.71</v>
      </c>
      <c r="Z265" s="2">
        <v>0</v>
      </c>
      <c r="AA265" s="2">
        <f t="shared" si="125"/>
        <v>0</v>
      </c>
      <c r="AB265" s="2">
        <v>0</v>
      </c>
      <c r="AC265" s="2">
        <v>0</v>
      </c>
      <c r="AD265" s="16">
        <f t="shared" si="126"/>
        <v>2267785.9</v>
      </c>
      <c r="AE265" s="2">
        <v>0</v>
      </c>
      <c r="AF265" s="2">
        <f t="shared" si="124"/>
        <v>2267785.9</v>
      </c>
      <c r="AG265" s="38" t="s">
        <v>857</v>
      </c>
      <c r="AH265" s="38"/>
      <c r="AI265" s="30">
        <f>11293.7+181280.25+37633.87+137376.76+195420.34+50178.49+328175.1+329900.12</f>
        <v>1271258.6299999999</v>
      </c>
      <c r="AJ265" s="30">
        <f>1727.28+27725.21+5755.77+21010.57+29887.82+7674.36+50191.49+50455.31</f>
        <v>194427.81</v>
      </c>
    </row>
    <row r="266" spans="1:36" s="43" customFormat="1" ht="175.5" customHeight="1" x14ac:dyDescent="0.25">
      <c r="A266" s="6">
        <v>263</v>
      </c>
      <c r="B266" s="31">
        <v>135870</v>
      </c>
      <c r="C266" s="11">
        <v>796</v>
      </c>
      <c r="D266" s="9" t="s">
        <v>1638</v>
      </c>
      <c r="E266" s="24" t="s">
        <v>1441</v>
      </c>
      <c r="F266" s="31" t="s">
        <v>1572</v>
      </c>
      <c r="G266" s="11" t="s">
        <v>1089</v>
      </c>
      <c r="H266" s="8" t="s">
        <v>151</v>
      </c>
      <c r="I266" s="12" t="s">
        <v>1573</v>
      </c>
      <c r="J266" s="25">
        <v>44020</v>
      </c>
      <c r="K266" s="25">
        <v>44993</v>
      </c>
      <c r="L266" s="26">
        <f t="shared" si="120"/>
        <v>85.000000069296306</v>
      </c>
      <c r="M266" s="11">
        <v>3</v>
      </c>
      <c r="N266" s="11" t="s">
        <v>240</v>
      </c>
      <c r="O266" s="11" t="s">
        <v>1090</v>
      </c>
      <c r="P266" s="27" t="s">
        <v>174</v>
      </c>
      <c r="Q266" s="11" t="s">
        <v>34</v>
      </c>
      <c r="R266" s="2">
        <f t="shared" si="127"/>
        <v>3066541.05</v>
      </c>
      <c r="S266" s="2">
        <v>3066541.05</v>
      </c>
      <c r="T266" s="2">
        <v>0</v>
      </c>
      <c r="U266" s="1">
        <f t="shared" si="122"/>
        <v>469000.39</v>
      </c>
      <c r="V266" s="28">
        <v>469000.39</v>
      </c>
      <c r="W266" s="28">
        <v>0</v>
      </c>
      <c r="X266" s="1">
        <f t="shared" si="123"/>
        <v>72153.91</v>
      </c>
      <c r="Y266" s="2">
        <v>72153.91</v>
      </c>
      <c r="Z266" s="2">
        <v>0</v>
      </c>
      <c r="AA266" s="2">
        <f t="shared" si="125"/>
        <v>0</v>
      </c>
      <c r="AB266" s="2">
        <v>0</v>
      </c>
      <c r="AC266" s="2">
        <v>0</v>
      </c>
      <c r="AD266" s="16">
        <f t="shared" si="126"/>
        <v>3607695.35</v>
      </c>
      <c r="AE266" s="2">
        <v>41108.15</v>
      </c>
      <c r="AF266" s="2">
        <f t="shared" si="124"/>
        <v>3648803.5</v>
      </c>
      <c r="AG266" s="38" t="s">
        <v>486</v>
      </c>
      <c r="AH266" s="38" t="s">
        <v>2064</v>
      </c>
      <c r="AI266" s="30">
        <f>71325-8183.89+206458.91+1322240.89-25938.12+160227.55+435956.5+125426</f>
        <v>2287512.84</v>
      </c>
      <c r="AJ266" s="30">
        <f>8183.89+202225.08+25938.12+24505.39+66675.7+19182.8</f>
        <v>346710.98</v>
      </c>
    </row>
    <row r="267" spans="1:36" s="43" customFormat="1" ht="175.5" customHeight="1" x14ac:dyDescent="0.25">
      <c r="A267" s="6">
        <v>264</v>
      </c>
      <c r="B267" s="31">
        <v>152191</v>
      </c>
      <c r="C267" s="11">
        <v>1140</v>
      </c>
      <c r="D267" s="9" t="s">
        <v>1639</v>
      </c>
      <c r="E267" s="24" t="s">
        <v>1801</v>
      </c>
      <c r="F267" s="31" t="s">
        <v>1940</v>
      </c>
      <c r="G267" s="11" t="s">
        <v>1134</v>
      </c>
      <c r="H267" s="8" t="s">
        <v>151</v>
      </c>
      <c r="I267" s="12" t="s">
        <v>2744</v>
      </c>
      <c r="J267" s="25">
        <v>44550</v>
      </c>
      <c r="K267" s="25">
        <v>45036</v>
      </c>
      <c r="L267" s="26">
        <f t="shared" si="120"/>
        <v>85.000000261000835</v>
      </c>
      <c r="M267" s="11">
        <v>3</v>
      </c>
      <c r="N267" s="11" t="s">
        <v>240</v>
      </c>
      <c r="O267" s="11" t="s">
        <v>391</v>
      </c>
      <c r="P267" s="27" t="s">
        <v>174</v>
      </c>
      <c r="Q267" s="11" t="s">
        <v>34</v>
      </c>
      <c r="R267" s="2">
        <f t="shared" si="127"/>
        <v>325669.46000000002</v>
      </c>
      <c r="S267" s="2">
        <v>325669.46000000002</v>
      </c>
      <c r="T267" s="2">
        <v>0</v>
      </c>
      <c r="U267" s="1">
        <f t="shared" si="122"/>
        <v>49808.27</v>
      </c>
      <c r="V267" s="28">
        <v>49808.27</v>
      </c>
      <c r="W267" s="28">
        <v>0</v>
      </c>
      <c r="X267" s="1">
        <f t="shared" si="123"/>
        <v>7662.81</v>
      </c>
      <c r="Y267" s="2">
        <v>7662.81</v>
      </c>
      <c r="Z267" s="2">
        <v>0</v>
      </c>
      <c r="AA267" s="2">
        <f t="shared" si="125"/>
        <v>0</v>
      </c>
      <c r="AB267" s="2">
        <v>0</v>
      </c>
      <c r="AC267" s="2">
        <v>0</v>
      </c>
      <c r="AD267" s="16">
        <f t="shared" si="126"/>
        <v>383140.54000000004</v>
      </c>
      <c r="AE267" s="2">
        <v>0</v>
      </c>
      <c r="AF267" s="2">
        <f t="shared" si="124"/>
        <v>383140.54000000004</v>
      </c>
      <c r="AG267" s="38" t="s">
        <v>486</v>
      </c>
      <c r="AH267" s="35"/>
      <c r="AI267" s="30">
        <v>3774.85</v>
      </c>
      <c r="AJ267" s="30">
        <v>577.33000000000004</v>
      </c>
    </row>
    <row r="268" spans="1:36" s="43" customFormat="1" ht="175.5" customHeight="1" x14ac:dyDescent="0.25">
      <c r="A268" s="6">
        <v>265</v>
      </c>
      <c r="B268" s="31">
        <v>152216</v>
      </c>
      <c r="C268" s="11">
        <v>1145</v>
      </c>
      <c r="D268" s="9" t="s">
        <v>1639</v>
      </c>
      <c r="E268" s="24" t="s">
        <v>1801</v>
      </c>
      <c r="F268" s="31" t="s">
        <v>1977</v>
      </c>
      <c r="G268" s="11" t="s">
        <v>1482</v>
      </c>
      <c r="H268" s="11" t="s">
        <v>1922</v>
      </c>
      <c r="I268" s="12" t="s">
        <v>2745</v>
      </c>
      <c r="J268" s="25">
        <v>44596</v>
      </c>
      <c r="K268" s="25">
        <v>44989</v>
      </c>
      <c r="L268" s="26">
        <f t="shared" si="120"/>
        <v>84.999996304339746</v>
      </c>
      <c r="M268" s="11">
        <v>3</v>
      </c>
      <c r="N268" s="11" t="s">
        <v>240</v>
      </c>
      <c r="O268" s="11" t="s">
        <v>241</v>
      </c>
      <c r="P268" s="27" t="s">
        <v>174</v>
      </c>
      <c r="Q268" s="11" t="s">
        <v>34</v>
      </c>
      <c r="R268" s="2">
        <f t="shared" si="127"/>
        <v>264499.40999999997</v>
      </c>
      <c r="S268" s="2">
        <v>264499.40999999997</v>
      </c>
      <c r="T268" s="2">
        <v>0</v>
      </c>
      <c r="U268" s="1">
        <f t="shared" si="122"/>
        <v>36623.68</v>
      </c>
      <c r="V268" s="28">
        <v>36623.68</v>
      </c>
      <c r="W268" s="28">
        <v>0</v>
      </c>
      <c r="X268" s="1">
        <f t="shared" si="123"/>
        <v>10052.700000000001</v>
      </c>
      <c r="Y268" s="2">
        <v>10052.700000000001</v>
      </c>
      <c r="Z268" s="2">
        <v>0</v>
      </c>
      <c r="AA268" s="2">
        <f t="shared" si="125"/>
        <v>0</v>
      </c>
      <c r="AB268" s="2">
        <v>0</v>
      </c>
      <c r="AC268" s="2">
        <v>0</v>
      </c>
      <c r="AD268" s="16">
        <f t="shared" si="126"/>
        <v>311175.78999999998</v>
      </c>
      <c r="AE268" s="2">
        <v>0</v>
      </c>
      <c r="AF268" s="2">
        <f t="shared" si="124"/>
        <v>311175.78999999998</v>
      </c>
      <c r="AG268" s="38" t="s">
        <v>486</v>
      </c>
      <c r="AH268" s="35"/>
      <c r="AI268" s="30">
        <f>2486.43</f>
        <v>2486.4299999999998</v>
      </c>
      <c r="AJ268" s="30">
        <v>69.62</v>
      </c>
    </row>
    <row r="269" spans="1:36" s="43" customFormat="1" ht="175.5" customHeight="1" x14ac:dyDescent="0.25">
      <c r="A269" s="6">
        <v>266</v>
      </c>
      <c r="B269" s="31">
        <v>154717</v>
      </c>
      <c r="C269" s="11">
        <v>1233</v>
      </c>
      <c r="D269" s="9" t="s">
        <v>1638</v>
      </c>
      <c r="E269" s="24" t="s">
        <v>2012</v>
      </c>
      <c r="F269" s="31" t="s">
        <v>2029</v>
      </c>
      <c r="G269" s="11" t="s">
        <v>1482</v>
      </c>
      <c r="H269" s="8" t="s">
        <v>151</v>
      </c>
      <c r="I269" s="12" t="s">
        <v>2746</v>
      </c>
      <c r="J269" s="25">
        <v>44637</v>
      </c>
      <c r="K269" s="25">
        <v>45124</v>
      </c>
      <c r="L269" s="26">
        <f t="shared" si="120"/>
        <v>85</v>
      </c>
      <c r="M269" s="11">
        <v>3</v>
      </c>
      <c r="N269" s="11" t="s">
        <v>240</v>
      </c>
      <c r="O269" s="11" t="s">
        <v>241</v>
      </c>
      <c r="P269" s="27" t="s">
        <v>174</v>
      </c>
      <c r="Q269" s="11" t="s">
        <v>34</v>
      </c>
      <c r="R269" s="2">
        <f t="shared" si="127"/>
        <v>2453899</v>
      </c>
      <c r="S269" s="2">
        <v>2453899</v>
      </c>
      <c r="T269" s="2">
        <v>0</v>
      </c>
      <c r="U269" s="1">
        <f t="shared" si="122"/>
        <v>375302.2</v>
      </c>
      <c r="V269" s="28">
        <v>375302.2</v>
      </c>
      <c r="W269" s="28">
        <v>0</v>
      </c>
      <c r="X269" s="1">
        <f t="shared" si="123"/>
        <v>57738.8</v>
      </c>
      <c r="Y269" s="2">
        <v>57738.8</v>
      </c>
      <c r="Z269" s="2">
        <v>0</v>
      </c>
      <c r="AA269" s="2">
        <v>0</v>
      </c>
      <c r="AB269" s="2">
        <v>0</v>
      </c>
      <c r="AC269" s="2">
        <v>0</v>
      </c>
      <c r="AD269" s="16">
        <f t="shared" si="126"/>
        <v>2886940</v>
      </c>
      <c r="AE269" s="2">
        <v>0</v>
      </c>
      <c r="AF269" s="2">
        <f t="shared" si="124"/>
        <v>2886940</v>
      </c>
      <c r="AG269" s="38" t="s">
        <v>486</v>
      </c>
      <c r="AH269" s="35"/>
      <c r="AI269" s="30">
        <f>20280.58</f>
        <v>20280.580000000002</v>
      </c>
      <c r="AJ269" s="30">
        <f>3101.74</f>
        <v>3101.74</v>
      </c>
    </row>
    <row r="270" spans="1:36" ht="155.25" customHeight="1" x14ac:dyDescent="0.25">
      <c r="A270" s="6">
        <v>267</v>
      </c>
      <c r="B270" s="11">
        <v>128275</v>
      </c>
      <c r="C270" s="11">
        <v>636</v>
      </c>
      <c r="D270" s="9" t="s">
        <v>1638</v>
      </c>
      <c r="E270" s="32" t="s">
        <v>1071</v>
      </c>
      <c r="F270" s="27" t="s">
        <v>1104</v>
      </c>
      <c r="G270" s="27" t="s">
        <v>1565</v>
      </c>
      <c r="H270" s="8" t="s">
        <v>151</v>
      </c>
      <c r="I270" s="32" t="s">
        <v>2747</v>
      </c>
      <c r="J270" s="25">
        <v>43629</v>
      </c>
      <c r="K270" s="25">
        <v>44360</v>
      </c>
      <c r="L270" s="26">
        <f>R270/AD270*100</f>
        <v>85.000000189128897</v>
      </c>
      <c r="M270" s="11">
        <v>1</v>
      </c>
      <c r="N270" s="11" t="s">
        <v>361</v>
      </c>
      <c r="O270" s="11" t="s">
        <v>1914</v>
      </c>
      <c r="P270" s="11" t="s">
        <v>174</v>
      </c>
      <c r="Q270" s="11" t="s">
        <v>34</v>
      </c>
      <c r="R270" s="2">
        <f>S270+T270</f>
        <v>2247144.58</v>
      </c>
      <c r="S270" s="30">
        <v>2247144.58</v>
      </c>
      <c r="T270" s="30">
        <v>0</v>
      </c>
      <c r="U270" s="1">
        <f t="shared" ref="U270:U286" si="128">V270+W270</f>
        <v>343680.93</v>
      </c>
      <c r="V270" s="42">
        <v>343680.93</v>
      </c>
      <c r="W270" s="42">
        <v>0</v>
      </c>
      <c r="X270" s="1">
        <f t="shared" ref="X270:X286" si="129">Y270+Z270</f>
        <v>52873.99</v>
      </c>
      <c r="Y270" s="30">
        <v>52873.99</v>
      </c>
      <c r="Z270" s="110">
        <v>0</v>
      </c>
      <c r="AA270" s="37">
        <f>AB270+AC270</f>
        <v>0</v>
      </c>
      <c r="AB270" s="30">
        <v>0</v>
      </c>
      <c r="AC270" s="110">
        <v>0</v>
      </c>
      <c r="AD270" s="16">
        <f t="shared" si="126"/>
        <v>2643699.5000000005</v>
      </c>
      <c r="AE270" s="10">
        <v>0</v>
      </c>
      <c r="AF270" s="2">
        <f>AD270+AE270</f>
        <v>2643699.5000000005</v>
      </c>
      <c r="AG270" s="38" t="s">
        <v>857</v>
      </c>
      <c r="AH270" s="35"/>
      <c r="AI270" s="30">
        <f>116746.84+110612.24+605723.6+756305.01</f>
        <v>1589387.69</v>
      </c>
      <c r="AJ270" s="30">
        <f>11751.31+6104.09+16917.17+92640.08+115670.18</f>
        <v>243082.83</v>
      </c>
    </row>
    <row r="271" spans="1:36" ht="155.25" customHeight="1" x14ac:dyDescent="0.25">
      <c r="A271" s="6">
        <v>268</v>
      </c>
      <c r="B271" s="11">
        <v>136247</v>
      </c>
      <c r="C271" s="11">
        <v>837</v>
      </c>
      <c r="D271" s="9" t="s">
        <v>1638</v>
      </c>
      <c r="E271" s="24" t="s">
        <v>1441</v>
      </c>
      <c r="F271" s="27" t="s">
        <v>1508</v>
      </c>
      <c r="G271" s="27" t="s">
        <v>1509</v>
      </c>
      <c r="H271" s="8" t="s">
        <v>151</v>
      </c>
      <c r="I271" s="32" t="s">
        <v>1510</v>
      </c>
      <c r="J271" s="25">
        <v>43973</v>
      </c>
      <c r="K271" s="25">
        <v>45068</v>
      </c>
      <c r="L271" s="26">
        <f>R271/AD271*100</f>
        <v>85</v>
      </c>
      <c r="M271" s="11">
        <v>1</v>
      </c>
      <c r="N271" s="11" t="s">
        <v>361</v>
      </c>
      <c r="O271" s="11" t="s">
        <v>361</v>
      </c>
      <c r="P271" s="27" t="s">
        <v>174</v>
      </c>
      <c r="Q271" s="11" t="s">
        <v>34</v>
      </c>
      <c r="R271" s="2">
        <f>S271+T271</f>
        <v>3008302.15</v>
      </c>
      <c r="S271" s="30">
        <v>3008302.15</v>
      </c>
      <c r="T271" s="30">
        <v>0</v>
      </c>
      <c r="U271" s="1">
        <f t="shared" si="128"/>
        <v>460093.27</v>
      </c>
      <c r="V271" s="42">
        <v>460093.27</v>
      </c>
      <c r="W271" s="42">
        <v>0</v>
      </c>
      <c r="X271" s="1">
        <f t="shared" si="129"/>
        <v>70783.58</v>
      </c>
      <c r="Y271" s="30">
        <v>70783.58</v>
      </c>
      <c r="Z271" s="110">
        <v>0</v>
      </c>
      <c r="AA271" s="37">
        <f>AB271+AC271</f>
        <v>0</v>
      </c>
      <c r="AB271" s="30">
        <v>0</v>
      </c>
      <c r="AC271" s="110">
        <v>0</v>
      </c>
      <c r="AD271" s="16">
        <f t="shared" si="126"/>
        <v>3539179</v>
      </c>
      <c r="AE271" s="10">
        <v>0</v>
      </c>
      <c r="AF271" s="2">
        <f>AD271+AE271</f>
        <v>3539179</v>
      </c>
      <c r="AG271" s="38" t="s">
        <v>486</v>
      </c>
      <c r="AH271" s="38" t="s">
        <v>3188</v>
      </c>
      <c r="AI271" s="30">
        <f>19875.98+34896.75+73158.18+152403.77+53734.93+439385.48+169587.21+184895.54</f>
        <v>1127937.8399999999</v>
      </c>
      <c r="AJ271" s="30">
        <f>3039.85+5337.15+11188.9+23308.81+8218.28+67200.13+25936.87+28278.14</f>
        <v>172508.13</v>
      </c>
    </row>
    <row r="272" spans="1:36" ht="155.25" customHeight="1" x14ac:dyDescent="0.25">
      <c r="A272" s="6">
        <v>269</v>
      </c>
      <c r="B272" s="11">
        <v>136308</v>
      </c>
      <c r="C272" s="11">
        <v>841</v>
      </c>
      <c r="D272" s="9" t="s">
        <v>1638</v>
      </c>
      <c r="E272" s="24" t="s">
        <v>1441</v>
      </c>
      <c r="F272" s="27" t="s">
        <v>1566</v>
      </c>
      <c r="G272" s="27" t="s">
        <v>1565</v>
      </c>
      <c r="H272" s="8" t="s">
        <v>151</v>
      </c>
      <c r="I272" s="32" t="s">
        <v>2748</v>
      </c>
      <c r="J272" s="25">
        <v>44014</v>
      </c>
      <c r="K272" s="25">
        <v>45140</v>
      </c>
      <c r="L272" s="26">
        <f>R272/AD272*100</f>
        <v>85.000000279577478</v>
      </c>
      <c r="M272" s="11">
        <v>1</v>
      </c>
      <c r="N272" s="11" t="s">
        <v>361</v>
      </c>
      <c r="O272" s="11" t="s">
        <v>1914</v>
      </c>
      <c r="P272" s="27" t="s">
        <v>174</v>
      </c>
      <c r="Q272" s="11" t="s">
        <v>34</v>
      </c>
      <c r="R272" s="2">
        <f>S272+T272</f>
        <v>3040302.11</v>
      </c>
      <c r="S272" s="30">
        <v>3040302.11</v>
      </c>
      <c r="T272" s="30">
        <v>0</v>
      </c>
      <c r="U272" s="1">
        <f t="shared" si="128"/>
        <v>464987.37</v>
      </c>
      <c r="V272" s="42">
        <v>464987.37</v>
      </c>
      <c r="W272" s="42">
        <v>0</v>
      </c>
      <c r="X272" s="1">
        <f t="shared" si="129"/>
        <v>71536.52</v>
      </c>
      <c r="Y272" s="30">
        <v>71536.52</v>
      </c>
      <c r="Z272" s="110">
        <v>0</v>
      </c>
      <c r="AA272" s="37">
        <f>AB272+AC272</f>
        <v>0</v>
      </c>
      <c r="AB272" s="30">
        <v>0</v>
      </c>
      <c r="AC272" s="110">
        <v>0</v>
      </c>
      <c r="AD272" s="16">
        <f t="shared" si="126"/>
        <v>3576826</v>
      </c>
      <c r="AE272" s="10">
        <v>0</v>
      </c>
      <c r="AF272" s="2">
        <f>AD272+AE272</f>
        <v>3576826</v>
      </c>
      <c r="AG272" s="38" t="s">
        <v>486</v>
      </c>
      <c r="AH272" s="38" t="s">
        <v>3314</v>
      </c>
      <c r="AI272" s="30">
        <f>40833.14+449354.4</f>
        <v>490187.54000000004</v>
      </c>
      <c r="AJ272" s="30">
        <f>6245.07+68724.79</f>
        <v>74969.859999999986</v>
      </c>
    </row>
    <row r="273" spans="1:36" ht="155.25" customHeight="1" x14ac:dyDescent="0.25">
      <c r="A273" s="6">
        <v>270</v>
      </c>
      <c r="B273" s="11">
        <v>154770</v>
      </c>
      <c r="C273" s="11">
        <v>1253</v>
      </c>
      <c r="D273" s="9" t="s">
        <v>1638</v>
      </c>
      <c r="E273" s="24" t="s">
        <v>2012</v>
      </c>
      <c r="F273" s="27" t="s">
        <v>2187</v>
      </c>
      <c r="G273" s="27" t="s">
        <v>1509</v>
      </c>
      <c r="H273" s="8" t="s">
        <v>151</v>
      </c>
      <c r="I273" s="32" t="s">
        <v>2749</v>
      </c>
      <c r="J273" s="25">
        <v>44685</v>
      </c>
      <c r="K273" s="25">
        <v>45173</v>
      </c>
      <c r="L273" s="26">
        <f>R273/AD273*100</f>
        <v>85</v>
      </c>
      <c r="M273" s="11">
        <v>1</v>
      </c>
      <c r="N273" s="11" t="s">
        <v>361</v>
      </c>
      <c r="O273" s="11" t="s">
        <v>361</v>
      </c>
      <c r="P273" s="27" t="s">
        <v>174</v>
      </c>
      <c r="Q273" s="11" t="s">
        <v>34</v>
      </c>
      <c r="R273" s="2">
        <f>S273+T273</f>
        <v>2547421.44</v>
      </c>
      <c r="S273" s="30">
        <v>2547421.44</v>
      </c>
      <c r="T273" s="30">
        <v>0</v>
      </c>
      <c r="U273" s="1">
        <f t="shared" si="128"/>
        <v>389605.63</v>
      </c>
      <c r="V273" s="42">
        <v>389605.63</v>
      </c>
      <c r="W273" s="42">
        <v>0</v>
      </c>
      <c r="X273" s="1">
        <f t="shared" si="129"/>
        <v>59939.33</v>
      </c>
      <c r="Y273" s="30">
        <v>59939.33</v>
      </c>
      <c r="Z273" s="110">
        <v>0</v>
      </c>
      <c r="AA273" s="37">
        <f>AB273+AC273</f>
        <v>0</v>
      </c>
      <c r="AB273" s="30">
        <v>0</v>
      </c>
      <c r="AC273" s="110">
        <v>0</v>
      </c>
      <c r="AD273" s="16">
        <f t="shared" si="126"/>
        <v>2996966.4</v>
      </c>
      <c r="AE273" s="10">
        <v>0</v>
      </c>
      <c r="AF273" s="2">
        <f>AD273+AE273</f>
        <v>2996966.4</v>
      </c>
      <c r="AG273" s="38" t="s">
        <v>486</v>
      </c>
      <c r="AH273" s="35"/>
      <c r="AI273" s="30">
        <v>85000</v>
      </c>
      <c r="AJ273" s="30">
        <v>13000</v>
      </c>
    </row>
    <row r="274" spans="1:36" ht="155.25" customHeight="1" x14ac:dyDescent="0.25">
      <c r="A274" s="6">
        <v>271</v>
      </c>
      <c r="B274" s="11">
        <v>154816</v>
      </c>
      <c r="C274" s="11">
        <v>1192</v>
      </c>
      <c r="D274" s="9" t="s">
        <v>1638</v>
      </c>
      <c r="E274" s="24" t="s">
        <v>2012</v>
      </c>
      <c r="F274" s="27" t="s">
        <v>2223</v>
      </c>
      <c r="G274" s="27" t="s">
        <v>2222</v>
      </c>
      <c r="H274" s="8" t="s">
        <v>151</v>
      </c>
      <c r="I274" s="32" t="s">
        <v>2750</v>
      </c>
      <c r="J274" s="25">
        <v>44706</v>
      </c>
      <c r="K274" s="25">
        <v>45194</v>
      </c>
      <c r="L274" s="26">
        <f>R274/AD274*100</f>
        <v>84.999999807530244</v>
      </c>
      <c r="M274" s="11">
        <v>1</v>
      </c>
      <c r="N274" s="11" t="s">
        <v>361</v>
      </c>
      <c r="O274" s="11" t="s">
        <v>361</v>
      </c>
      <c r="P274" s="27" t="s">
        <v>174</v>
      </c>
      <c r="Q274" s="11" t="s">
        <v>34</v>
      </c>
      <c r="R274" s="2">
        <f>S274+T274</f>
        <v>1766511.34</v>
      </c>
      <c r="S274" s="30">
        <v>1766511.34</v>
      </c>
      <c r="T274" s="30">
        <v>0</v>
      </c>
      <c r="U274" s="1">
        <f t="shared" si="128"/>
        <v>270172.33</v>
      </c>
      <c r="V274" s="42">
        <v>270172.33</v>
      </c>
      <c r="W274" s="42">
        <v>0</v>
      </c>
      <c r="X274" s="1">
        <f t="shared" si="129"/>
        <v>41564.97</v>
      </c>
      <c r="Y274" s="30">
        <v>41564.97</v>
      </c>
      <c r="Z274" s="110">
        <v>0</v>
      </c>
      <c r="AA274" s="37">
        <f>AB274+AC274</f>
        <v>0</v>
      </c>
      <c r="AB274" s="30">
        <v>0</v>
      </c>
      <c r="AC274" s="110">
        <v>0</v>
      </c>
      <c r="AD274" s="16">
        <f t="shared" si="126"/>
        <v>2078248.6400000001</v>
      </c>
      <c r="AE274" s="10">
        <v>0</v>
      </c>
      <c r="AF274" s="2">
        <f>AD274+AE274</f>
        <v>2078248.6400000001</v>
      </c>
      <c r="AG274" s="38" t="s">
        <v>486</v>
      </c>
      <c r="AH274" s="35"/>
      <c r="AI274" s="30">
        <v>0</v>
      </c>
      <c r="AJ274" s="30">
        <v>0</v>
      </c>
    </row>
    <row r="275" spans="1:36" ht="270" customHeight="1" x14ac:dyDescent="0.25">
      <c r="A275" s="6">
        <v>272</v>
      </c>
      <c r="B275" s="11">
        <v>119895</v>
      </c>
      <c r="C275" s="11">
        <v>458</v>
      </c>
      <c r="D275" s="9" t="s">
        <v>1638</v>
      </c>
      <c r="E275" s="32" t="s">
        <v>682</v>
      </c>
      <c r="F275" s="27" t="s">
        <v>689</v>
      </c>
      <c r="G275" s="27" t="s">
        <v>690</v>
      </c>
      <c r="H275" s="8" t="s">
        <v>151</v>
      </c>
      <c r="I275" s="32" t="s">
        <v>2751</v>
      </c>
      <c r="J275" s="25">
        <v>43312</v>
      </c>
      <c r="K275" s="25">
        <v>43861</v>
      </c>
      <c r="L275" s="26">
        <f>R275/AD275*100</f>
        <v>79.999998251321642</v>
      </c>
      <c r="M275" s="11">
        <v>8</v>
      </c>
      <c r="N275" s="11" t="s">
        <v>691</v>
      </c>
      <c r="O275" s="11" t="s">
        <v>691</v>
      </c>
      <c r="P275" s="11" t="s">
        <v>174</v>
      </c>
      <c r="Q275" s="11" t="s">
        <v>34</v>
      </c>
      <c r="R275" s="2">
        <f>S275+T275</f>
        <v>457488.35</v>
      </c>
      <c r="S275" s="111">
        <v>0</v>
      </c>
      <c r="T275" s="57">
        <v>457488.35</v>
      </c>
      <c r="U275" s="1">
        <f t="shared" si="128"/>
        <v>102934.89</v>
      </c>
      <c r="V275" s="87">
        <v>0</v>
      </c>
      <c r="W275" s="52">
        <v>102934.89</v>
      </c>
      <c r="X275" s="1">
        <f t="shared" si="129"/>
        <v>11437.21</v>
      </c>
      <c r="Y275" s="57">
        <v>0</v>
      </c>
      <c r="Z275" s="112">
        <v>11437.21</v>
      </c>
      <c r="AA275" s="2">
        <f>AB275+AC275</f>
        <v>0</v>
      </c>
      <c r="AB275" s="57">
        <v>0</v>
      </c>
      <c r="AC275" s="112">
        <v>0</v>
      </c>
      <c r="AD275" s="16">
        <f t="shared" si="126"/>
        <v>571860.44999999995</v>
      </c>
      <c r="AE275" s="2">
        <v>0</v>
      </c>
      <c r="AF275" s="2">
        <f>AD275+AE275</f>
        <v>571860.44999999995</v>
      </c>
      <c r="AG275" s="38" t="s">
        <v>857</v>
      </c>
      <c r="AH275" s="38" t="s">
        <v>1393</v>
      </c>
      <c r="AI275" s="30">
        <v>446392.8</v>
      </c>
      <c r="AJ275" s="30">
        <v>100438.38</v>
      </c>
    </row>
    <row r="276" spans="1:36" ht="142.5" customHeight="1" x14ac:dyDescent="0.25">
      <c r="A276" s="6">
        <v>273</v>
      </c>
      <c r="B276" s="31">
        <v>126391</v>
      </c>
      <c r="C276" s="11">
        <v>508</v>
      </c>
      <c r="D276" s="9" t="s">
        <v>1638</v>
      </c>
      <c r="E276" s="11" t="s">
        <v>903</v>
      </c>
      <c r="F276" s="11" t="s">
        <v>943</v>
      </c>
      <c r="G276" s="27" t="s">
        <v>690</v>
      </c>
      <c r="H276" s="8" t="s">
        <v>151</v>
      </c>
      <c r="I276" s="32" t="s">
        <v>2752</v>
      </c>
      <c r="J276" s="25">
        <v>43452</v>
      </c>
      <c r="K276" s="25">
        <v>45217</v>
      </c>
      <c r="L276" s="26">
        <f>R276/AD276*100</f>
        <v>80.000000098352359</v>
      </c>
      <c r="M276" s="11">
        <v>8</v>
      </c>
      <c r="N276" s="11" t="s">
        <v>691</v>
      </c>
      <c r="O276" s="11" t="s">
        <v>691</v>
      </c>
      <c r="P276" s="11" t="s">
        <v>174</v>
      </c>
      <c r="Q276" s="11" t="s">
        <v>34</v>
      </c>
      <c r="R276" s="2">
        <f>S276+T276</f>
        <v>1626803.97</v>
      </c>
      <c r="S276" s="113">
        <v>0</v>
      </c>
      <c r="T276" s="114">
        <v>1626803.97</v>
      </c>
      <c r="U276" s="1">
        <f t="shared" si="128"/>
        <v>366030.89</v>
      </c>
      <c r="V276" s="42">
        <v>0</v>
      </c>
      <c r="W276" s="42">
        <v>366030.89</v>
      </c>
      <c r="X276" s="1">
        <f t="shared" si="129"/>
        <v>40670.1</v>
      </c>
      <c r="Y276" s="30">
        <v>0</v>
      </c>
      <c r="Z276" s="30">
        <v>40670.1</v>
      </c>
      <c r="AA276" s="2">
        <f>AB276+AC276</f>
        <v>0</v>
      </c>
      <c r="AB276" s="30">
        <v>0</v>
      </c>
      <c r="AC276" s="30">
        <v>0</v>
      </c>
      <c r="AD276" s="16">
        <f t="shared" si="126"/>
        <v>2033504.96</v>
      </c>
      <c r="AE276" s="37">
        <v>624652.74</v>
      </c>
      <c r="AF276" s="2">
        <f>AD276+AE276</f>
        <v>2658157.7000000002</v>
      </c>
      <c r="AG276" s="38" t="s">
        <v>486</v>
      </c>
      <c r="AH276" s="38" t="s">
        <v>2044</v>
      </c>
      <c r="AI276" s="30">
        <f>5712+189782.66</f>
        <v>195494.66</v>
      </c>
      <c r="AJ276" s="30">
        <f>1285.2+10217.34</f>
        <v>11502.54</v>
      </c>
    </row>
    <row r="277" spans="1:36" ht="142.5" customHeight="1" x14ac:dyDescent="0.25">
      <c r="A277" s="6">
        <v>274</v>
      </c>
      <c r="B277" s="31">
        <v>128946</v>
      </c>
      <c r="C277" s="11">
        <v>654</v>
      </c>
      <c r="D277" s="9" t="s">
        <v>1638</v>
      </c>
      <c r="E277" s="11" t="s">
        <v>1116</v>
      </c>
      <c r="F277" s="11" t="s">
        <v>1157</v>
      </c>
      <c r="G277" s="27" t="s">
        <v>690</v>
      </c>
      <c r="H277" s="8" t="s">
        <v>151</v>
      </c>
      <c r="I277" s="32" t="s">
        <v>2753</v>
      </c>
      <c r="J277" s="25">
        <v>43657</v>
      </c>
      <c r="K277" s="25">
        <v>44388</v>
      </c>
      <c r="L277" s="26">
        <f>R277/AD277*100</f>
        <v>80</v>
      </c>
      <c r="M277" s="11">
        <v>8</v>
      </c>
      <c r="N277" s="11" t="s">
        <v>691</v>
      </c>
      <c r="O277" s="11" t="s">
        <v>691</v>
      </c>
      <c r="P277" s="11" t="s">
        <v>174</v>
      </c>
      <c r="Q277" s="11" t="s">
        <v>34</v>
      </c>
      <c r="R277" s="2">
        <f>S277+T277</f>
        <v>271938.8</v>
      </c>
      <c r="S277" s="30">
        <v>0</v>
      </c>
      <c r="T277" s="30">
        <v>271938.8</v>
      </c>
      <c r="U277" s="1">
        <f t="shared" si="128"/>
        <v>61186.239999999998</v>
      </c>
      <c r="V277" s="42">
        <v>0</v>
      </c>
      <c r="W277" s="42">
        <v>61186.239999999998</v>
      </c>
      <c r="X277" s="1">
        <f t="shared" si="129"/>
        <v>6798.46</v>
      </c>
      <c r="Y277" s="30">
        <v>0</v>
      </c>
      <c r="Z277" s="30">
        <v>6798.46</v>
      </c>
      <c r="AA277" s="2">
        <f>AB277+AC277</f>
        <v>0</v>
      </c>
      <c r="AB277" s="30">
        <v>0</v>
      </c>
      <c r="AC277" s="30">
        <v>0</v>
      </c>
      <c r="AD277" s="16">
        <f t="shared" si="126"/>
        <v>339923.5</v>
      </c>
      <c r="AE277" s="37">
        <v>0</v>
      </c>
      <c r="AF277" s="2">
        <f>AD277+AE277</f>
        <v>339923.5</v>
      </c>
      <c r="AG277" s="38" t="s">
        <v>857</v>
      </c>
      <c r="AH277" s="38" t="s">
        <v>1677</v>
      </c>
      <c r="AI277" s="30">
        <v>233696.12</v>
      </c>
      <c r="AJ277" s="30">
        <f>3403.11+5524.39+16107.84+27546.29</f>
        <v>52581.630000000005</v>
      </c>
    </row>
    <row r="278" spans="1:36" ht="142.5" customHeight="1" x14ac:dyDescent="0.25">
      <c r="A278" s="6">
        <v>275</v>
      </c>
      <c r="B278" s="31">
        <v>151869</v>
      </c>
      <c r="C278" s="11">
        <v>1149</v>
      </c>
      <c r="D278" s="9" t="s">
        <v>1639</v>
      </c>
      <c r="E278" s="24" t="s">
        <v>1988</v>
      </c>
      <c r="F278" s="11" t="s">
        <v>2001</v>
      </c>
      <c r="G278" s="27" t="s">
        <v>690</v>
      </c>
      <c r="H278" s="11" t="s">
        <v>2000</v>
      </c>
      <c r="I278" s="32" t="s">
        <v>2754</v>
      </c>
      <c r="J278" s="25">
        <v>44622</v>
      </c>
      <c r="K278" s="25">
        <v>45048</v>
      </c>
      <c r="L278" s="26">
        <f>R278/AD278*100</f>
        <v>79.999999025496976</v>
      </c>
      <c r="M278" s="11">
        <v>8</v>
      </c>
      <c r="N278" s="11" t="s">
        <v>691</v>
      </c>
      <c r="O278" s="11" t="s">
        <v>691</v>
      </c>
      <c r="P278" s="11" t="s">
        <v>174</v>
      </c>
      <c r="Q278" s="11" t="s">
        <v>34</v>
      </c>
      <c r="R278" s="2">
        <f>S278+T278</f>
        <v>328372.5</v>
      </c>
      <c r="S278" s="30">
        <v>0</v>
      </c>
      <c r="T278" s="30">
        <v>328372.5</v>
      </c>
      <c r="U278" s="1">
        <f t="shared" si="128"/>
        <v>57298.5</v>
      </c>
      <c r="V278" s="42">
        <v>0</v>
      </c>
      <c r="W278" s="42">
        <v>57298.5</v>
      </c>
      <c r="X278" s="1">
        <f t="shared" si="129"/>
        <v>24794.629999999997</v>
      </c>
      <c r="Y278" s="30">
        <v>0</v>
      </c>
      <c r="Z278" s="30">
        <v>24794.629999999997</v>
      </c>
      <c r="AA278" s="2">
        <f>AB278+AC278</f>
        <v>0</v>
      </c>
      <c r="AB278" s="30">
        <v>0</v>
      </c>
      <c r="AC278" s="30">
        <v>0</v>
      </c>
      <c r="AD278" s="16">
        <f t="shared" si="126"/>
        <v>410465.63</v>
      </c>
      <c r="AE278" s="37">
        <v>0</v>
      </c>
      <c r="AF278" s="2">
        <f>AD278+AE278</f>
        <v>410465.63</v>
      </c>
      <c r="AG278" s="38" t="s">
        <v>486</v>
      </c>
      <c r="AH278" s="35"/>
      <c r="AI278" s="30">
        <v>31832.5</v>
      </c>
      <c r="AJ278" s="30">
        <v>0</v>
      </c>
    </row>
    <row r="279" spans="1:36" ht="109.5" customHeight="1" x14ac:dyDescent="0.25">
      <c r="A279" s="6">
        <v>276</v>
      </c>
      <c r="B279" s="31">
        <v>154552</v>
      </c>
      <c r="C279" s="11">
        <v>1254</v>
      </c>
      <c r="D279" s="9" t="s">
        <v>1638</v>
      </c>
      <c r="E279" s="24" t="s">
        <v>2104</v>
      </c>
      <c r="F279" s="11" t="s">
        <v>2246</v>
      </c>
      <c r="G279" s="27" t="s">
        <v>690</v>
      </c>
      <c r="H279" s="11" t="s">
        <v>2247</v>
      </c>
      <c r="I279" s="32" t="s">
        <v>2755</v>
      </c>
      <c r="J279" s="25">
        <v>44719</v>
      </c>
      <c r="K279" s="25">
        <v>45206</v>
      </c>
      <c r="L279" s="26">
        <f>R279/AD279*100</f>
        <v>80.000000066683114</v>
      </c>
      <c r="M279" s="11">
        <v>8</v>
      </c>
      <c r="N279" s="11" t="s">
        <v>691</v>
      </c>
      <c r="O279" s="11" t="s">
        <v>691</v>
      </c>
      <c r="P279" s="11" t="s">
        <v>174</v>
      </c>
      <c r="Q279" s="11" t="s">
        <v>34</v>
      </c>
      <c r="R279" s="2">
        <f>S279+T279</f>
        <v>2399407.85</v>
      </c>
      <c r="S279" s="30">
        <v>0</v>
      </c>
      <c r="T279" s="30">
        <v>2399407.85</v>
      </c>
      <c r="U279" s="1">
        <f t="shared" si="128"/>
        <v>539866.76</v>
      </c>
      <c r="V279" s="42">
        <v>0</v>
      </c>
      <c r="W279" s="42">
        <v>539866.76</v>
      </c>
      <c r="X279" s="1">
        <f t="shared" si="129"/>
        <v>59985.2</v>
      </c>
      <c r="Y279" s="30">
        <v>0</v>
      </c>
      <c r="Z279" s="30">
        <v>59985.2</v>
      </c>
      <c r="AA279" s="2">
        <f>AB279+AC279</f>
        <v>0</v>
      </c>
      <c r="AB279" s="30">
        <v>0</v>
      </c>
      <c r="AC279" s="30">
        <v>0</v>
      </c>
      <c r="AD279" s="16">
        <f t="shared" si="126"/>
        <v>2999259.8100000005</v>
      </c>
      <c r="AE279" s="37">
        <v>0</v>
      </c>
      <c r="AF279" s="2">
        <f>AD279+AE279</f>
        <v>2999259.8100000005</v>
      </c>
      <c r="AG279" s="38" t="s">
        <v>486</v>
      </c>
      <c r="AH279" s="35"/>
      <c r="AI279" s="30">
        <v>299925</v>
      </c>
      <c r="AJ279" s="30">
        <v>0</v>
      </c>
    </row>
    <row r="280" spans="1:36" ht="150" customHeight="1" x14ac:dyDescent="0.25">
      <c r="A280" s="6">
        <v>277</v>
      </c>
      <c r="B280" s="31">
        <v>122738</v>
      </c>
      <c r="C280" s="11">
        <v>73</v>
      </c>
      <c r="D280" s="9" t="s">
        <v>1638</v>
      </c>
      <c r="E280" s="24" t="s">
        <v>277</v>
      </c>
      <c r="F280" s="70" t="s">
        <v>580</v>
      </c>
      <c r="G280" s="11" t="s">
        <v>581</v>
      </c>
      <c r="H280" s="8" t="s">
        <v>151</v>
      </c>
      <c r="I280" s="32" t="s">
        <v>2756</v>
      </c>
      <c r="J280" s="25">
        <v>43284</v>
      </c>
      <c r="K280" s="25">
        <v>43772</v>
      </c>
      <c r="L280" s="26">
        <f t="shared" ref="L280:L286" si="130">R280/AD280*100</f>
        <v>85.000002334434541</v>
      </c>
      <c r="M280" s="11">
        <v>6</v>
      </c>
      <c r="N280" s="11" t="s">
        <v>582</v>
      </c>
      <c r="O280" s="11" t="s">
        <v>583</v>
      </c>
      <c r="P280" s="27" t="s">
        <v>174</v>
      </c>
      <c r="Q280" s="11" t="s">
        <v>34</v>
      </c>
      <c r="R280" s="1">
        <f t="shared" ref="R280:R286" si="131">S280+T280</f>
        <v>527965.13</v>
      </c>
      <c r="S280" s="57">
        <v>527965.13</v>
      </c>
      <c r="T280" s="2">
        <v>0</v>
      </c>
      <c r="U280" s="1">
        <f t="shared" si="128"/>
        <v>80747.570000000007</v>
      </c>
      <c r="V280" s="87">
        <v>80747.570000000007</v>
      </c>
      <c r="W280" s="28">
        <v>0</v>
      </c>
      <c r="X280" s="1">
        <f t="shared" si="129"/>
        <v>12422.73</v>
      </c>
      <c r="Y280" s="115">
        <v>12422.73</v>
      </c>
      <c r="Z280" s="2">
        <v>0</v>
      </c>
      <c r="AA280" s="2">
        <f t="shared" ref="AA280:AA286" si="132">AB280+AC280</f>
        <v>0</v>
      </c>
      <c r="AB280" s="2">
        <v>0</v>
      </c>
      <c r="AC280" s="2">
        <v>0</v>
      </c>
      <c r="AD280" s="16">
        <f t="shared" si="126"/>
        <v>621135.42999999993</v>
      </c>
      <c r="AE280" s="2">
        <v>0</v>
      </c>
      <c r="AF280" s="2">
        <f t="shared" ref="AF280:AF286" si="133">AD280+AE280</f>
        <v>621135.42999999993</v>
      </c>
      <c r="AG280" s="21" t="s">
        <v>857</v>
      </c>
      <c r="AH280" s="29"/>
      <c r="AI280" s="30">
        <v>494682.26</v>
      </c>
      <c r="AJ280" s="30">
        <v>75657.279999999999</v>
      </c>
    </row>
    <row r="281" spans="1:36" ht="173.25" x14ac:dyDescent="0.25">
      <c r="A281" s="6">
        <v>278</v>
      </c>
      <c r="B281" s="31">
        <v>126337</v>
      </c>
      <c r="C281" s="11">
        <v>556</v>
      </c>
      <c r="D281" s="9" t="s">
        <v>1638</v>
      </c>
      <c r="E281" s="24" t="s">
        <v>899</v>
      </c>
      <c r="F281" s="11" t="s">
        <v>1051</v>
      </c>
      <c r="G281" s="11" t="s">
        <v>581</v>
      </c>
      <c r="H281" s="8" t="s">
        <v>151</v>
      </c>
      <c r="I281" s="32" t="s">
        <v>2757</v>
      </c>
      <c r="J281" s="25">
        <v>43577</v>
      </c>
      <c r="K281" s="25">
        <v>45129</v>
      </c>
      <c r="L281" s="26">
        <f t="shared" si="130"/>
        <v>85.000000695857267</v>
      </c>
      <c r="M281" s="11">
        <v>6</v>
      </c>
      <c r="N281" s="11" t="s">
        <v>582</v>
      </c>
      <c r="O281" s="11" t="s">
        <v>583</v>
      </c>
      <c r="P281" s="27" t="s">
        <v>174</v>
      </c>
      <c r="Q281" s="11" t="s">
        <v>34</v>
      </c>
      <c r="R281" s="2">
        <f t="shared" si="131"/>
        <v>3359165.9</v>
      </c>
      <c r="S281" s="57">
        <v>3359165.9</v>
      </c>
      <c r="T281" s="2">
        <v>0</v>
      </c>
      <c r="U281" s="1">
        <f t="shared" si="128"/>
        <v>513754.75</v>
      </c>
      <c r="V281" s="87">
        <v>513754.75</v>
      </c>
      <c r="W281" s="28">
        <v>0</v>
      </c>
      <c r="X281" s="1">
        <f t="shared" si="129"/>
        <v>79039.199999999997</v>
      </c>
      <c r="Y281" s="115">
        <v>79039.199999999997</v>
      </c>
      <c r="Z281" s="2">
        <v>0</v>
      </c>
      <c r="AA281" s="2">
        <f t="shared" si="132"/>
        <v>0</v>
      </c>
      <c r="AB281" s="2">
        <v>0</v>
      </c>
      <c r="AC281" s="2">
        <v>0</v>
      </c>
      <c r="AD281" s="16">
        <f t="shared" si="126"/>
        <v>3951959.85</v>
      </c>
      <c r="AE281" s="2">
        <v>933819.42</v>
      </c>
      <c r="AF281" s="2">
        <f t="shared" si="133"/>
        <v>4885779.2700000005</v>
      </c>
      <c r="AG281" s="38" t="s">
        <v>486</v>
      </c>
      <c r="AH281" s="38" t="s">
        <v>3290</v>
      </c>
      <c r="AI281" s="30">
        <f>124564.71+42628.15+210319.83+1627651.3+14510.35+346253.02+31126.07+5155.25+41094.1+5842.05</f>
        <v>2449144.83</v>
      </c>
      <c r="AJ281" s="30">
        <f>19051.05+6519.6+32166.56+248934.88+2219.23+52956.34+4760.45+788.45+6284.98+893.49</f>
        <v>374575.03</v>
      </c>
    </row>
    <row r="282" spans="1:36" ht="173.25" x14ac:dyDescent="0.25">
      <c r="A282" s="6">
        <v>279</v>
      </c>
      <c r="B282" s="31">
        <v>129243</v>
      </c>
      <c r="C282" s="11">
        <v>683</v>
      </c>
      <c r="D282" s="9" t="s">
        <v>1638</v>
      </c>
      <c r="E282" s="24" t="s">
        <v>1071</v>
      </c>
      <c r="F282" s="11" t="s">
        <v>1306</v>
      </c>
      <c r="G282" s="11" t="s">
        <v>1307</v>
      </c>
      <c r="H282" s="11" t="s">
        <v>1308</v>
      </c>
      <c r="I282" s="32" t="s">
        <v>1309</v>
      </c>
      <c r="J282" s="25">
        <v>43745</v>
      </c>
      <c r="K282" s="25">
        <v>45023</v>
      </c>
      <c r="L282" s="26">
        <f t="shared" si="130"/>
        <v>84.714589571145268</v>
      </c>
      <c r="M282" s="11">
        <v>7</v>
      </c>
      <c r="N282" s="11" t="s">
        <v>582</v>
      </c>
      <c r="O282" s="11" t="s">
        <v>583</v>
      </c>
      <c r="P282" s="27" t="s">
        <v>174</v>
      </c>
      <c r="Q282" s="11" t="s">
        <v>34</v>
      </c>
      <c r="R282" s="2">
        <f t="shared" si="131"/>
        <v>2890733.73</v>
      </c>
      <c r="S282" s="2">
        <v>2890733.73</v>
      </c>
      <c r="T282" s="2">
        <v>0</v>
      </c>
      <c r="U282" s="1">
        <f t="shared" si="128"/>
        <v>453340.85</v>
      </c>
      <c r="V282" s="28">
        <v>453340.85</v>
      </c>
      <c r="W282" s="28">
        <v>0</v>
      </c>
      <c r="X282" s="1">
        <f>Y282+Z282</f>
        <v>56788.62</v>
      </c>
      <c r="Y282" s="2">
        <v>56788.62</v>
      </c>
      <c r="Z282" s="2">
        <v>0</v>
      </c>
      <c r="AA282" s="2">
        <f t="shared" si="132"/>
        <v>11457.8</v>
      </c>
      <c r="AB282" s="2">
        <v>11457.8</v>
      </c>
      <c r="AC282" s="2">
        <v>0</v>
      </c>
      <c r="AD282" s="16">
        <f t="shared" si="126"/>
        <v>3412321</v>
      </c>
      <c r="AE282" s="2">
        <v>0</v>
      </c>
      <c r="AF282" s="2">
        <f t="shared" si="133"/>
        <v>3412321</v>
      </c>
      <c r="AG282" s="38" t="s">
        <v>486</v>
      </c>
      <c r="AH282" s="38" t="s">
        <v>2481</v>
      </c>
      <c r="AI282" s="30">
        <f>404117.15+47748.5-9345.4+24374.07+31812.91+39199.68+303094.82+13314.89+27960.26-12513.05+52938.5+143633+133226.42+1069175.73-1464.57+293483.6</f>
        <v>2560756.5100000002</v>
      </c>
      <c r="AJ282" s="30">
        <f>39188.8+9345.4+12408.84+16703.81+4274.95+10775.89+19788.24+13512.92+21967.4+30588.47+163520.99+5657.86</f>
        <v>347733.56999999995</v>
      </c>
    </row>
    <row r="283" spans="1:36" ht="141.75" x14ac:dyDescent="0.25">
      <c r="A283" s="6">
        <v>280</v>
      </c>
      <c r="B283" s="31">
        <v>136164</v>
      </c>
      <c r="C283" s="11">
        <v>838</v>
      </c>
      <c r="D283" s="9" t="s">
        <v>1638</v>
      </c>
      <c r="E283" s="24" t="s">
        <v>1441</v>
      </c>
      <c r="F283" s="11" t="s">
        <v>1535</v>
      </c>
      <c r="G283" s="11" t="s">
        <v>1307</v>
      </c>
      <c r="H283" s="11" t="s">
        <v>1307</v>
      </c>
      <c r="I283" s="32" t="s">
        <v>2758</v>
      </c>
      <c r="J283" s="25">
        <v>43998</v>
      </c>
      <c r="K283" s="25">
        <v>45123</v>
      </c>
      <c r="L283" s="26">
        <f t="shared" si="130"/>
        <v>85</v>
      </c>
      <c r="M283" s="11">
        <v>7</v>
      </c>
      <c r="N283" s="11" t="s">
        <v>582</v>
      </c>
      <c r="O283" s="11" t="s">
        <v>583</v>
      </c>
      <c r="P283" s="27" t="s">
        <v>174</v>
      </c>
      <c r="Q283" s="11" t="s">
        <v>34</v>
      </c>
      <c r="R283" s="2">
        <f t="shared" si="131"/>
        <v>2037216.25</v>
      </c>
      <c r="S283" s="2">
        <v>2037216.25</v>
      </c>
      <c r="T283" s="2">
        <v>0</v>
      </c>
      <c r="U283" s="1">
        <f t="shared" si="128"/>
        <v>311574.25</v>
      </c>
      <c r="V283" s="28">
        <v>311574.25</v>
      </c>
      <c r="W283" s="28">
        <v>0</v>
      </c>
      <c r="X283" s="1">
        <f t="shared" si="129"/>
        <v>47934.5</v>
      </c>
      <c r="Y283" s="2">
        <v>47934.5</v>
      </c>
      <c r="Z283" s="2">
        <v>0</v>
      </c>
      <c r="AA283" s="2">
        <f t="shared" si="132"/>
        <v>0</v>
      </c>
      <c r="AB283" s="2">
        <v>0</v>
      </c>
      <c r="AC283" s="2">
        <v>0</v>
      </c>
      <c r="AD283" s="16">
        <f t="shared" si="126"/>
        <v>2396725</v>
      </c>
      <c r="AE283" s="2">
        <v>0</v>
      </c>
      <c r="AF283" s="2">
        <f t="shared" si="133"/>
        <v>2396725</v>
      </c>
      <c r="AG283" s="38" t="s">
        <v>486</v>
      </c>
      <c r="AH283" s="38" t="s">
        <v>2226</v>
      </c>
      <c r="AI283" s="30">
        <f>239000-2570.36-3498.3-2564.11+24008.04-6898.58+130443.04+51416.31-7714.07</f>
        <v>421621.97000000003</v>
      </c>
      <c r="AJ283" s="30">
        <f>2570.36+3498.3+2564.11+6898.58+19950.11+9346.35+7714.07</f>
        <v>52541.88</v>
      </c>
    </row>
    <row r="284" spans="1:36" ht="236.25" x14ac:dyDescent="0.25">
      <c r="A284" s="6">
        <v>281</v>
      </c>
      <c r="B284" s="31">
        <v>152033</v>
      </c>
      <c r="C284" s="11">
        <v>1118</v>
      </c>
      <c r="D284" s="9" t="s">
        <v>1639</v>
      </c>
      <c r="E284" s="24" t="s">
        <v>1801</v>
      </c>
      <c r="F284" s="11" t="s">
        <v>1840</v>
      </c>
      <c r="G284" s="11" t="s">
        <v>1839</v>
      </c>
      <c r="H284" s="8" t="s">
        <v>151</v>
      </c>
      <c r="I284" s="32" t="s">
        <v>2759</v>
      </c>
      <c r="J284" s="25">
        <v>44498</v>
      </c>
      <c r="K284" s="25">
        <v>44955</v>
      </c>
      <c r="L284" s="26">
        <f t="shared" si="130"/>
        <v>84.999999999999986</v>
      </c>
      <c r="M284" s="11">
        <v>7</v>
      </c>
      <c r="N284" s="11" t="s">
        <v>582</v>
      </c>
      <c r="O284" s="11" t="s">
        <v>1841</v>
      </c>
      <c r="P284" s="27" t="s">
        <v>174</v>
      </c>
      <c r="Q284" s="11" t="s">
        <v>34</v>
      </c>
      <c r="R284" s="2">
        <f t="shared" si="131"/>
        <v>352679.11</v>
      </c>
      <c r="S284" s="2">
        <v>352679.11</v>
      </c>
      <c r="T284" s="2">
        <v>0</v>
      </c>
      <c r="U284" s="1">
        <f t="shared" si="128"/>
        <v>53939.15</v>
      </c>
      <c r="V284" s="28">
        <v>53939.15</v>
      </c>
      <c r="W284" s="28">
        <v>0</v>
      </c>
      <c r="X284" s="1">
        <f t="shared" si="129"/>
        <v>8298.34</v>
      </c>
      <c r="Y284" s="2">
        <v>8298.34</v>
      </c>
      <c r="Z284" s="2">
        <v>0</v>
      </c>
      <c r="AA284" s="2">
        <f t="shared" si="132"/>
        <v>0</v>
      </c>
      <c r="AB284" s="2">
        <v>0</v>
      </c>
      <c r="AC284" s="2">
        <v>0</v>
      </c>
      <c r="AD284" s="16">
        <f t="shared" si="126"/>
        <v>414916.60000000003</v>
      </c>
      <c r="AE284" s="2">
        <v>0</v>
      </c>
      <c r="AF284" s="2">
        <f t="shared" si="133"/>
        <v>414916.60000000003</v>
      </c>
      <c r="AG284" s="38" t="s">
        <v>486</v>
      </c>
      <c r="AH284" s="38" t="s">
        <v>3313</v>
      </c>
      <c r="AI284" s="30">
        <f>40000+36592.28+63977.38</f>
        <v>140569.66</v>
      </c>
      <c r="AJ284" s="30">
        <f>5596.46+9784.78</f>
        <v>15381.240000000002</v>
      </c>
    </row>
    <row r="285" spans="1:36" ht="141.75" x14ac:dyDescent="0.25">
      <c r="A285" s="6">
        <v>282</v>
      </c>
      <c r="B285" s="31">
        <v>155190</v>
      </c>
      <c r="C285" s="11">
        <v>1213</v>
      </c>
      <c r="D285" s="9" t="s">
        <v>1638</v>
      </c>
      <c r="E285" s="24" t="s">
        <v>2012</v>
      </c>
      <c r="F285" s="11" t="s">
        <v>2095</v>
      </c>
      <c r="G285" s="11" t="s">
        <v>581</v>
      </c>
      <c r="H285" s="8" t="s">
        <v>151</v>
      </c>
      <c r="I285" s="32" t="s">
        <v>2096</v>
      </c>
      <c r="J285" s="25">
        <v>44656</v>
      </c>
      <c r="K285" s="25">
        <v>45143</v>
      </c>
      <c r="L285" s="26">
        <f t="shared" si="130"/>
        <v>85</v>
      </c>
      <c r="M285" s="11">
        <v>7</v>
      </c>
      <c r="N285" s="11" t="s">
        <v>582</v>
      </c>
      <c r="O285" s="11" t="s">
        <v>583</v>
      </c>
      <c r="P285" s="27" t="s">
        <v>174</v>
      </c>
      <c r="Q285" s="11" t="s">
        <v>34</v>
      </c>
      <c r="R285" s="2">
        <f t="shared" si="131"/>
        <v>2549830.85</v>
      </c>
      <c r="S285" s="2">
        <v>2549830.85</v>
      </c>
      <c r="T285" s="2">
        <v>0</v>
      </c>
      <c r="U285" s="1">
        <f t="shared" si="128"/>
        <v>389974.13</v>
      </c>
      <c r="V285" s="28">
        <v>389974.13</v>
      </c>
      <c r="W285" s="28">
        <v>0</v>
      </c>
      <c r="X285" s="1">
        <f t="shared" si="129"/>
        <v>59996.02</v>
      </c>
      <c r="Y285" s="2">
        <v>59996.02</v>
      </c>
      <c r="Z285" s="2">
        <v>0</v>
      </c>
      <c r="AA285" s="2">
        <f t="shared" si="132"/>
        <v>0</v>
      </c>
      <c r="AB285" s="2">
        <v>0</v>
      </c>
      <c r="AC285" s="2">
        <v>0</v>
      </c>
      <c r="AD285" s="16">
        <f t="shared" si="126"/>
        <v>2999801</v>
      </c>
      <c r="AE285" s="2">
        <v>0</v>
      </c>
      <c r="AF285" s="2">
        <f t="shared" si="133"/>
        <v>2999801</v>
      </c>
      <c r="AG285" s="38" t="s">
        <v>486</v>
      </c>
      <c r="AH285" s="38"/>
      <c r="AI285" s="30">
        <v>0</v>
      </c>
      <c r="AJ285" s="30">
        <v>0</v>
      </c>
    </row>
    <row r="286" spans="1:36" ht="173.25" x14ac:dyDescent="0.25">
      <c r="A286" s="6">
        <v>283</v>
      </c>
      <c r="B286" s="31">
        <v>154289</v>
      </c>
      <c r="C286" s="11">
        <v>1208</v>
      </c>
      <c r="D286" s="9" t="s">
        <v>1638</v>
      </c>
      <c r="E286" s="24" t="s">
        <v>2012</v>
      </c>
      <c r="F286" s="11" t="s">
        <v>2207</v>
      </c>
      <c r="G286" s="11" t="s">
        <v>1839</v>
      </c>
      <c r="H286" s="8" t="s">
        <v>151</v>
      </c>
      <c r="I286" s="32" t="s">
        <v>2208</v>
      </c>
      <c r="J286" s="25">
        <v>44700</v>
      </c>
      <c r="K286" s="25">
        <v>45188</v>
      </c>
      <c r="L286" s="26">
        <f t="shared" si="130"/>
        <v>85.00000029227435</v>
      </c>
      <c r="M286" s="11">
        <v>7</v>
      </c>
      <c r="N286" s="11" t="s">
        <v>582</v>
      </c>
      <c r="O286" s="11" t="s">
        <v>1841</v>
      </c>
      <c r="P286" s="27" t="s">
        <v>174</v>
      </c>
      <c r="Q286" s="11" t="s">
        <v>34</v>
      </c>
      <c r="R286" s="2">
        <f t="shared" si="131"/>
        <v>2908226.56</v>
      </c>
      <c r="S286" s="2">
        <v>2908226.56</v>
      </c>
      <c r="T286" s="2">
        <v>0</v>
      </c>
      <c r="U286" s="1">
        <f t="shared" si="128"/>
        <v>444787.58</v>
      </c>
      <c r="V286" s="28">
        <v>444787.58</v>
      </c>
      <c r="W286" s="28">
        <v>0</v>
      </c>
      <c r="X286" s="1">
        <f t="shared" si="129"/>
        <v>68428.86</v>
      </c>
      <c r="Y286" s="2">
        <v>68428.86</v>
      </c>
      <c r="Z286" s="2">
        <v>0</v>
      </c>
      <c r="AA286" s="2">
        <f t="shared" si="132"/>
        <v>0</v>
      </c>
      <c r="AB286" s="2">
        <v>0</v>
      </c>
      <c r="AC286" s="2">
        <v>0</v>
      </c>
      <c r="AD286" s="16">
        <f t="shared" si="126"/>
        <v>3421443</v>
      </c>
      <c r="AE286" s="2">
        <v>0</v>
      </c>
      <c r="AF286" s="2">
        <f t="shared" si="133"/>
        <v>3421443</v>
      </c>
      <c r="AG286" s="38" t="s">
        <v>486</v>
      </c>
      <c r="AH286" s="38"/>
      <c r="AI286" s="30">
        <v>100000</v>
      </c>
      <c r="AJ286" s="30">
        <v>0</v>
      </c>
    </row>
    <row r="287" spans="1:36" ht="173.25" x14ac:dyDescent="0.25">
      <c r="A287" s="6">
        <v>284</v>
      </c>
      <c r="B287" s="31">
        <v>110238</v>
      </c>
      <c r="C287" s="11">
        <v>120</v>
      </c>
      <c r="D287" s="9" t="s">
        <v>1638</v>
      </c>
      <c r="E287" s="24" t="s">
        <v>277</v>
      </c>
      <c r="F287" s="70" t="s">
        <v>245</v>
      </c>
      <c r="G287" s="11" t="s">
        <v>685</v>
      </c>
      <c r="H287" s="8" t="s">
        <v>151</v>
      </c>
      <c r="I287" s="12" t="s">
        <v>259</v>
      </c>
      <c r="J287" s="25">
        <v>43166</v>
      </c>
      <c r="K287" s="25">
        <v>43837</v>
      </c>
      <c r="L287" s="26">
        <f t="shared" ref="L287:L292" si="134">R287/AD287*100</f>
        <v>85.000000235397167</v>
      </c>
      <c r="M287" s="11">
        <v>4</v>
      </c>
      <c r="N287" s="11" t="s">
        <v>248</v>
      </c>
      <c r="O287" s="11" t="s">
        <v>247</v>
      </c>
      <c r="P287" s="27" t="s">
        <v>174</v>
      </c>
      <c r="Q287" s="11" t="s">
        <v>34</v>
      </c>
      <c r="R287" s="1">
        <f t="shared" ref="R287:R292" si="135">S287+T287</f>
        <v>361091.85</v>
      </c>
      <c r="S287" s="39">
        <v>361091.85</v>
      </c>
      <c r="T287" s="2">
        <v>0</v>
      </c>
      <c r="U287" s="1">
        <f t="shared" ref="U287:U292" si="136">V287+W287</f>
        <v>55225.82</v>
      </c>
      <c r="V287" s="52">
        <v>55225.82</v>
      </c>
      <c r="W287" s="28">
        <v>0</v>
      </c>
      <c r="X287" s="1">
        <f t="shared" ref="X287:X292" si="137">Y287+Z287</f>
        <v>8496.27</v>
      </c>
      <c r="Y287" s="116">
        <v>8496.27</v>
      </c>
      <c r="Z287" s="2">
        <v>0</v>
      </c>
      <c r="AA287" s="2">
        <f t="shared" ref="AA287:AA292" si="138">AB287+AC287</f>
        <v>0</v>
      </c>
      <c r="AB287" s="2">
        <v>0</v>
      </c>
      <c r="AC287" s="2">
        <v>0</v>
      </c>
      <c r="AD287" s="16">
        <f t="shared" si="126"/>
        <v>424813.94</v>
      </c>
      <c r="AE287" s="2">
        <v>0</v>
      </c>
      <c r="AF287" s="2">
        <f t="shared" ref="AF287:AF292" si="139">AD287+AE287</f>
        <v>424813.94</v>
      </c>
      <c r="AG287" s="38" t="s">
        <v>857</v>
      </c>
      <c r="AH287" s="29" t="s">
        <v>1062</v>
      </c>
      <c r="AI287" s="30">
        <v>348222.91000000003</v>
      </c>
      <c r="AJ287" s="30">
        <v>53257.61</v>
      </c>
    </row>
    <row r="288" spans="1:36" ht="173.25" x14ac:dyDescent="0.25">
      <c r="A288" s="6">
        <v>285</v>
      </c>
      <c r="B288" s="31">
        <v>117741</v>
      </c>
      <c r="C288" s="11">
        <v>415</v>
      </c>
      <c r="D288" s="32" t="s">
        <v>1639</v>
      </c>
      <c r="E288" s="32" t="s">
        <v>507</v>
      </c>
      <c r="F288" s="11" t="s">
        <v>684</v>
      </c>
      <c r="G288" s="11" t="s">
        <v>685</v>
      </c>
      <c r="H288" s="11" t="s">
        <v>610</v>
      </c>
      <c r="I288" s="32" t="s">
        <v>686</v>
      </c>
      <c r="J288" s="25">
        <v>43311</v>
      </c>
      <c r="K288" s="25">
        <v>43707</v>
      </c>
      <c r="L288" s="26">
        <f t="shared" si="134"/>
        <v>84.15024511492409</v>
      </c>
      <c r="M288" s="11">
        <v>4</v>
      </c>
      <c r="N288" s="11" t="s">
        <v>248</v>
      </c>
      <c r="O288" s="11" t="s">
        <v>247</v>
      </c>
      <c r="P288" s="11" t="s">
        <v>174</v>
      </c>
      <c r="Q288" s="11" t="s">
        <v>34</v>
      </c>
      <c r="R288" s="1">
        <f t="shared" si="135"/>
        <v>242958.31</v>
      </c>
      <c r="S288" s="30">
        <v>242958.31</v>
      </c>
      <c r="T288" s="2">
        <v>0</v>
      </c>
      <c r="U288" s="1">
        <f t="shared" si="136"/>
        <v>39986.97</v>
      </c>
      <c r="V288" s="42">
        <v>39986.97</v>
      </c>
      <c r="W288" s="28">
        <v>0</v>
      </c>
      <c r="X288" s="1">
        <f t="shared" si="137"/>
        <v>2888.03</v>
      </c>
      <c r="Y288" s="30">
        <v>2888.03</v>
      </c>
      <c r="Z288" s="30">
        <v>0</v>
      </c>
      <c r="AA288" s="2">
        <f t="shared" si="138"/>
        <v>2886.36</v>
      </c>
      <c r="AB288" s="30">
        <v>2886.36</v>
      </c>
      <c r="AC288" s="41">
        <v>0</v>
      </c>
      <c r="AD288" s="16">
        <f t="shared" si="126"/>
        <v>288719.67000000004</v>
      </c>
      <c r="AE288" s="38"/>
      <c r="AF288" s="2">
        <f t="shared" si="139"/>
        <v>288719.67000000004</v>
      </c>
      <c r="AG288" s="21" t="s">
        <v>857</v>
      </c>
      <c r="AH288" s="38" t="s">
        <v>1189</v>
      </c>
      <c r="AI288" s="30">
        <v>154052.83000000002</v>
      </c>
      <c r="AJ288" s="30">
        <v>25737.5</v>
      </c>
    </row>
    <row r="289" spans="1:36" ht="172.5" customHeight="1" x14ac:dyDescent="0.25">
      <c r="A289" s="6">
        <v>286</v>
      </c>
      <c r="B289" s="31">
        <v>126246</v>
      </c>
      <c r="C289" s="11">
        <v>537</v>
      </c>
      <c r="D289" s="9" t="s">
        <v>1638</v>
      </c>
      <c r="E289" s="24" t="s">
        <v>899</v>
      </c>
      <c r="F289" s="11" t="s">
        <v>1009</v>
      </c>
      <c r="G289" s="11" t="s">
        <v>685</v>
      </c>
      <c r="H289" s="11" t="s">
        <v>497</v>
      </c>
      <c r="I289" s="12" t="s">
        <v>1010</v>
      </c>
      <c r="J289" s="25">
        <v>43532</v>
      </c>
      <c r="K289" s="25">
        <v>44689</v>
      </c>
      <c r="L289" s="26">
        <f t="shared" si="134"/>
        <v>84.376573406981009</v>
      </c>
      <c r="M289" s="11">
        <v>4</v>
      </c>
      <c r="N289" s="11" t="s">
        <v>248</v>
      </c>
      <c r="O289" s="11" t="s">
        <v>247</v>
      </c>
      <c r="P289" s="11" t="s">
        <v>174</v>
      </c>
      <c r="Q289" s="11" t="s">
        <v>34</v>
      </c>
      <c r="R289" s="1">
        <f t="shared" si="135"/>
        <v>3134478.73</v>
      </c>
      <c r="S289" s="51">
        <v>3134478.73</v>
      </c>
      <c r="T289" s="2">
        <v>0</v>
      </c>
      <c r="U289" s="1">
        <f t="shared" si="136"/>
        <v>506092.36</v>
      </c>
      <c r="V289" s="55">
        <v>506092.36</v>
      </c>
      <c r="W289" s="28">
        <v>0</v>
      </c>
      <c r="X289" s="1">
        <f t="shared" si="137"/>
        <v>47050.89</v>
      </c>
      <c r="Y289" s="51">
        <v>47050.89</v>
      </c>
      <c r="Z289" s="51">
        <v>0</v>
      </c>
      <c r="AA289" s="2">
        <f t="shared" si="138"/>
        <v>27246.5</v>
      </c>
      <c r="AB289" s="51">
        <v>27246.5</v>
      </c>
      <c r="AC289" s="36">
        <v>0</v>
      </c>
      <c r="AD289" s="16">
        <f t="shared" si="126"/>
        <v>3714868.48</v>
      </c>
      <c r="AE289" s="35">
        <v>0</v>
      </c>
      <c r="AF289" s="2">
        <f t="shared" si="139"/>
        <v>3714868.48</v>
      </c>
      <c r="AG289" s="38" t="s">
        <v>857</v>
      </c>
      <c r="AH289" s="38" t="s">
        <v>1996</v>
      </c>
      <c r="AI289" s="30">
        <f>561658.42-14692.77+100771.01+103124.13-13629.24+122496.25+66492.5-5752.3+44782.25+116689.97-16767.99+92786.64-13103.59+67357.2-1478.82-4986.54-6611.21+45977.07+1541768.77-6544.59+281753.97-7975.63-1829.12+8952.63</f>
        <v>3061239.01</v>
      </c>
      <c r="AJ289" s="30">
        <f>78790.01+14692.77+17180.78+13629.24+23582.31+5752.3+6849.05+3956.65+16767.99+13103.59+1478.82+4986.54+6611.21+235799.91+6544.59+35470.63+7975.63+1369.22</f>
        <v>494541.24</v>
      </c>
    </row>
    <row r="290" spans="1:36" ht="274.5" customHeight="1" x14ac:dyDescent="0.25">
      <c r="A290" s="6">
        <v>287</v>
      </c>
      <c r="B290" s="31">
        <v>135982</v>
      </c>
      <c r="C290" s="11">
        <v>815</v>
      </c>
      <c r="D290" s="9" t="s">
        <v>1638</v>
      </c>
      <c r="E290" s="24" t="s">
        <v>1441</v>
      </c>
      <c r="F290" s="31" t="s">
        <v>1456</v>
      </c>
      <c r="G290" s="11" t="s">
        <v>685</v>
      </c>
      <c r="H290" s="8" t="s">
        <v>151</v>
      </c>
      <c r="I290" s="12" t="s">
        <v>2760</v>
      </c>
      <c r="J290" s="25">
        <v>43959</v>
      </c>
      <c r="K290" s="25">
        <v>44812</v>
      </c>
      <c r="L290" s="26">
        <f t="shared" si="134"/>
        <v>85.000000040154887</v>
      </c>
      <c r="M290" s="11">
        <v>4</v>
      </c>
      <c r="N290" s="11" t="s">
        <v>248</v>
      </c>
      <c r="O290" s="11" t="s">
        <v>247</v>
      </c>
      <c r="P290" s="11" t="s">
        <v>174</v>
      </c>
      <c r="Q290" s="11" t="s">
        <v>34</v>
      </c>
      <c r="R290" s="1">
        <f t="shared" si="135"/>
        <v>3175204.76</v>
      </c>
      <c r="S290" s="51">
        <v>3175204.76</v>
      </c>
      <c r="T290" s="2">
        <v>0</v>
      </c>
      <c r="U290" s="1">
        <f t="shared" si="136"/>
        <v>485619.55</v>
      </c>
      <c r="V290" s="55">
        <v>485619.55</v>
      </c>
      <c r="W290" s="28">
        <v>0</v>
      </c>
      <c r="X290" s="1">
        <f t="shared" si="137"/>
        <v>74710.7</v>
      </c>
      <c r="Y290" s="51">
        <v>74710.7</v>
      </c>
      <c r="Z290" s="51">
        <v>0</v>
      </c>
      <c r="AA290" s="2">
        <f t="shared" si="138"/>
        <v>0</v>
      </c>
      <c r="AB290" s="51">
        <v>0</v>
      </c>
      <c r="AC290" s="36">
        <v>0</v>
      </c>
      <c r="AD290" s="16">
        <f t="shared" si="126"/>
        <v>3735535.01</v>
      </c>
      <c r="AE290" s="35">
        <v>0</v>
      </c>
      <c r="AF290" s="2">
        <f t="shared" si="139"/>
        <v>3735535.01</v>
      </c>
      <c r="AG290" s="38" t="s">
        <v>857</v>
      </c>
      <c r="AH290" s="29" t="s">
        <v>2180</v>
      </c>
      <c r="AI290" s="30">
        <f>40778.75+103935.07+89246.17+1228972.5+373553.5-35511.45+373553.5+16550.13</f>
        <v>2191078.17</v>
      </c>
      <c r="AJ290" s="30">
        <f>6236.75+15895.95+13649.41+187960.5+51700.55+59662.91</f>
        <v>335106.06999999995</v>
      </c>
    </row>
    <row r="291" spans="1:36" ht="409.5" x14ac:dyDescent="0.25">
      <c r="A291" s="6">
        <v>288</v>
      </c>
      <c r="B291" s="31">
        <v>135980</v>
      </c>
      <c r="C291" s="11">
        <v>785</v>
      </c>
      <c r="D291" s="9" t="s">
        <v>1638</v>
      </c>
      <c r="E291" s="24" t="s">
        <v>1441</v>
      </c>
      <c r="F291" s="31" t="s">
        <v>1486</v>
      </c>
      <c r="G291" s="11" t="s">
        <v>1487</v>
      </c>
      <c r="H291" s="8" t="s">
        <v>151</v>
      </c>
      <c r="I291" s="12" t="s">
        <v>2761</v>
      </c>
      <c r="J291" s="25">
        <v>43969</v>
      </c>
      <c r="K291" s="25">
        <v>44760</v>
      </c>
      <c r="L291" s="26">
        <f t="shared" si="134"/>
        <v>85.000000000000014</v>
      </c>
      <c r="M291" s="11">
        <v>4</v>
      </c>
      <c r="N291" s="11" t="s">
        <v>248</v>
      </c>
      <c r="O291" s="11" t="s">
        <v>1488</v>
      </c>
      <c r="P291" s="11" t="s">
        <v>174</v>
      </c>
      <c r="Q291" s="11" t="s">
        <v>34</v>
      </c>
      <c r="R291" s="1">
        <f t="shared" si="135"/>
        <v>2466463.7000000002</v>
      </c>
      <c r="S291" s="30">
        <v>2466463.7000000002</v>
      </c>
      <c r="T291" s="2">
        <v>0</v>
      </c>
      <c r="U291" s="1">
        <f t="shared" si="136"/>
        <v>377223.86</v>
      </c>
      <c r="V291" s="42">
        <v>377223.86</v>
      </c>
      <c r="W291" s="28">
        <v>0</v>
      </c>
      <c r="X291" s="1">
        <f t="shared" si="137"/>
        <v>58034.44</v>
      </c>
      <c r="Y291" s="30">
        <v>58034.44</v>
      </c>
      <c r="Z291" s="30">
        <v>0</v>
      </c>
      <c r="AA291" s="2">
        <f t="shared" si="138"/>
        <v>0</v>
      </c>
      <c r="AB291" s="30">
        <v>0</v>
      </c>
      <c r="AC291" s="36">
        <v>0</v>
      </c>
      <c r="AD291" s="16">
        <f t="shared" si="126"/>
        <v>2901722</v>
      </c>
      <c r="AE291" s="35">
        <v>0</v>
      </c>
      <c r="AF291" s="2">
        <f t="shared" si="139"/>
        <v>2901722</v>
      </c>
      <c r="AG291" s="38" t="s">
        <v>857</v>
      </c>
      <c r="AH291" s="29" t="s">
        <v>151</v>
      </c>
      <c r="AI291" s="30">
        <f>57510.16+41820+20836.05+34875.5+35599.7+34006.8+27269.7+335484.21+1001385+8156.6+286954.56+292352.4</f>
        <v>2176250.6800000002</v>
      </c>
      <c r="AJ291" s="30">
        <f>8795.67+6396+3186.69+5333.9+5444.66+5201.04+4170.66+51309.35+153153+1247.48+43887.17+44712.72</f>
        <v>332838.33999999997</v>
      </c>
    </row>
    <row r="292" spans="1:36" ht="83.25" customHeight="1" x14ac:dyDescent="0.25">
      <c r="A292" s="6">
        <v>289</v>
      </c>
      <c r="B292" s="31">
        <v>152182</v>
      </c>
      <c r="C292" s="11">
        <v>1109</v>
      </c>
      <c r="D292" s="9" t="s">
        <v>1639</v>
      </c>
      <c r="E292" s="24" t="s">
        <v>1801</v>
      </c>
      <c r="F292" s="31" t="s">
        <v>1870</v>
      </c>
      <c r="G292" s="11" t="s">
        <v>1487</v>
      </c>
      <c r="H292" s="11" t="s">
        <v>1871</v>
      </c>
      <c r="I292" s="12" t="s">
        <v>1872</v>
      </c>
      <c r="J292" s="25">
        <v>44518</v>
      </c>
      <c r="K292" s="25">
        <v>45003</v>
      </c>
      <c r="L292" s="26">
        <f t="shared" si="134"/>
        <v>84.204459153318652</v>
      </c>
      <c r="M292" s="11">
        <v>4</v>
      </c>
      <c r="N292" s="11" t="s">
        <v>248</v>
      </c>
      <c r="O292" s="11" t="s">
        <v>1488</v>
      </c>
      <c r="P292" s="11" t="s">
        <v>174</v>
      </c>
      <c r="Q292" s="11" t="s">
        <v>34</v>
      </c>
      <c r="R292" s="1">
        <f t="shared" si="135"/>
        <v>293498.44</v>
      </c>
      <c r="S292" s="30">
        <v>293498.44</v>
      </c>
      <c r="T292" s="2">
        <v>0</v>
      </c>
      <c r="U292" s="1">
        <f t="shared" si="136"/>
        <v>48084.959999999999</v>
      </c>
      <c r="V292" s="42">
        <v>48084.959999999999</v>
      </c>
      <c r="W292" s="28">
        <v>0</v>
      </c>
      <c r="X292" s="1">
        <f t="shared" si="137"/>
        <v>3708.86</v>
      </c>
      <c r="Y292" s="30">
        <v>3708.86</v>
      </c>
      <c r="Z292" s="30">
        <v>0</v>
      </c>
      <c r="AA292" s="2">
        <f t="shared" si="138"/>
        <v>3262.25</v>
      </c>
      <c r="AB292" s="30">
        <v>3262.25</v>
      </c>
      <c r="AC292" s="36">
        <v>0</v>
      </c>
      <c r="AD292" s="16">
        <f t="shared" si="126"/>
        <v>348554.51</v>
      </c>
      <c r="AE292" s="35">
        <v>0</v>
      </c>
      <c r="AF292" s="2">
        <f t="shared" si="139"/>
        <v>348554.51</v>
      </c>
      <c r="AG292" s="38" t="s">
        <v>486</v>
      </c>
      <c r="AH292" s="29"/>
      <c r="AI292" s="30">
        <f>15000+16983.2+9400.02-1416.81+15000+18099.05+19813.74</f>
        <v>92879.200000000012</v>
      </c>
      <c r="AJ292" s="30">
        <f>2997.04+2204.16+1851.69+2768.09+3496.54</f>
        <v>13317.52</v>
      </c>
    </row>
    <row r="293" spans="1:36" s="185" customFormat="1" ht="157.5" x14ac:dyDescent="0.25">
      <c r="A293" s="6">
        <v>290</v>
      </c>
      <c r="B293" s="31">
        <v>120531</v>
      </c>
      <c r="C293" s="11">
        <v>76</v>
      </c>
      <c r="D293" s="9" t="s">
        <v>1638</v>
      </c>
      <c r="E293" s="24" t="s">
        <v>277</v>
      </c>
      <c r="F293" s="27" t="s">
        <v>190</v>
      </c>
      <c r="G293" s="27" t="s">
        <v>191</v>
      </c>
      <c r="H293" s="8" t="s">
        <v>151</v>
      </c>
      <c r="I293" s="32" t="s">
        <v>192</v>
      </c>
      <c r="J293" s="25">
        <v>43129</v>
      </c>
      <c r="K293" s="25">
        <v>43798</v>
      </c>
      <c r="L293" s="26">
        <f t="shared" ref="L293:L303" si="140">R293/AD293*100</f>
        <v>85.000000405063261</v>
      </c>
      <c r="M293" s="11">
        <v>3</v>
      </c>
      <c r="N293" s="11" t="s">
        <v>194</v>
      </c>
      <c r="O293" s="11" t="s">
        <v>193</v>
      </c>
      <c r="P293" s="27" t="s">
        <v>174</v>
      </c>
      <c r="Q293" s="11" t="s">
        <v>34</v>
      </c>
      <c r="R293" s="2">
        <f t="shared" ref="R293:R303" si="141">S293+T293</f>
        <v>524609.42000000004</v>
      </c>
      <c r="S293" s="57">
        <v>524609.42000000004</v>
      </c>
      <c r="T293" s="2">
        <v>0</v>
      </c>
      <c r="U293" s="1">
        <f t="shared" ref="U293:U303" si="142">V293+W293</f>
        <v>80234.38</v>
      </c>
      <c r="V293" s="87">
        <v>80234.38</v>
      </c>
      <c r="W293" s="28">
        <v>0</v>
      </c>
      <c r="X293" s="1">
        <f t="shared" ref="X293:X303" si="143">Y293+Z293</f>
        <v>12343.75</v>
      </c>
      <c r="Y293" s="57">
        <v>12343.75</v>
      </c>
      <c r="Z293" s="2">
        <v>0</v>
      </c>
      <c r="AA293" s="2">
        <f t="shared" ref="AA293:AA303" si="144">AB293+AC293</f>
        <v>0</v>
      </c>
      <c r="AB293" s="2">
        <v>0</v>
      </c>
      <c r="AC293" s="2">
        <v>0</v>
      </c>
      <c r="AD293" s="16">
        <f t="shared" si="126"/>
        <v>617187.55000000005</v>
      </c>
      <c r="AE293" s="2">
        <v>0</v>
      </c>
      <c r="AF293" s="2">
        <f t="shared" ref="AF293:AF303" si="145">AD293+AE293</f>
        <v>617187.55000000005</v>
      </c>
      <c r="AG293" s="21" t="s">
        <v>857</v>
      </c>
      <c r="AH293" s="29" t="s">
        <v>151</v>
      </c>
      <c r="AI293" s="30">
        <v>398279.01</v>
      </c>
      <c r="AJ293" s="30">
        <v>60913.25</v>
      </c>
    </row>
    <row r="294" spans="1:36" s="187" customFormat="1" ht="157.5" x14ac:dyDescent="0.25">
      <c r="A294" s="6">
        <v>291</v>
      </c>
      <c r="B294" s="31">
        <v>119702</v>
      </c>
      <c r="C294" s="11">
        <v>462</v>
      </c>
      <c r="D294" s="9" t="s">
        <v>1638</v>
      </c>
      <c r="E294" s="68" t="s">
        <v>457</v>
      </c>
      <c r="F294" s="11" t="s">
        <v>502</v>
      </c>
      <c r="G294" s="11" t="s">
        <v>191</v>
      </c>
      <c r="H294" s="8" t="s">
        <v>151</v>
      </c>
      <c r="I294" s="32" t="s">
        <v>2762</v>
      </c>
      <c r="J294" s="25">
        <v>43269</v>
      </c>
      <c r="K294" s="25">
        <v>43756</v>
      </c>
      <c r="L294" s="26">
        <f t="shared" si="140"/>
        <v>85.000000000000014</v>
      </c>
      <c r="M294" s="11">
        <v>3</v>
      </c>
      <c r="N294" s="11" t="s">
        <v>194</v>
      </c>
      <c r="O294" s="11" t="s">
        <v>193</v>
      </c>
      <c r="P294" s="11" t="s">
        <v>174</v>
      </c>
      <c r="Q294" s="11" t="s">
        <v>460</v>
      </c>
      <c r="R294" s="2">
        <f t="shared" si="141"/>
        <v>289363.96999999997</v>
      </c>
      <c r="S294" s="30">
        <v>289363.96999999997</v>
      </c>
      <c r="T294" s="2">
        <v>0</v>
      </c>
      <c r="U294" s="1">
        <f t="shared" si="142"/>
        <v>44255.67</v>
      </c>
      <c r="V294" s="42">
        <v>44255.67</v>
      </c>
      <c r="W294" s="28">
        <v>0</v>
      </c>
      <c r="X294" s="1">
        <f t="shared" si="143"/>
        <v>6808.5599999999995</v>
      </c>
      <c r="Y294" s="30">
        <v>6808.5599999999995</v>
      </c>
      <c r="Z294" s="2">
        <v>0</v>
      </c>
      <c r="AA294" s="2">
        <f t="shared" si="144"/>
        <v>0</v>
      </c>
      <c r="AB294" s="2">
        <v>0</v>
      </c>
      <c r="AC294" s="2">
        <v>0</v>
      </c>
      <c r="AD294" s="16">
        <f t="shared" si="126"/>
        <v>340428.19999999995</v>
      </c>
      <c r="AE294" s="2">
        <v>0</v>
      </c>
      <c r="AF294" s="2">
        <f t="shared" si="145"/>
        <v>340428.19999999995</v>
      </c>
      <c r="AG294" s="21" t="s">
        <v>857</v>
      </c>
      <c r="AH294" s="73" t="s">
        <v>1048</v>
      </c>
      <c r="AI294" s="30">
        <v>261948.47000000003</v>
      </c>
      <c r="AJ294" s="30">
        <v>40062.699999999997</v>
      </c>
    </row>
    <row r="295" spans="1:36" ht="204.75" x14ac:dyDescent="0.25">
      <c r="A295" s="6">
        <v>292</v>
      </c>
      <c r="B295" s="31">
        <v>117960</v>
      </c>
      <c r="C295" s="11">
        <v>418</v>
      </c>
      <c r="D295" s="32" t="s">
        <v>1639</v>
      </c>
      <c r="E295" s="32" t="s">
        <v>507</v>
      </c>
      <c r="F295" s="11" t="s">
        <v>720</v>
      </c>
      <c r="G295" s="11" t="s">
        <v>191</v>
      </c>
      <c r="H295" s="8" t="s">
        <v>151</v>
      </c>
      <c r="I295" s="32" t="s">
        <v>721</v>
      </c>
      <c r="J295" s="25">
        <v>43318</v>
      </c>
      <c r="K295" s="25">
        <v>43805</v>
      </c>
      <c r="L295" s="26">
        <f t="shared" si="140"/>
        <v>85</v>
      </c>
      <c r="M295" s="11">
        <v>3</v>
      </c>
      <c r="N295" s="11" t="s">
        <v>194</v>
      </c>
      <c r="O295" s="11" t="s">
        <v>193</v>
      </c>
      <c r="P295" s="11" t="s">
        <v>174</v>
      </c>
      <c r="Q295" s="11" t="s">
        <v>460</v>
      </c>
      <c r="R295" s="2">
        <f t="shared" si="141"/>
        <v>339865.02</v>
      </c>
      <c r="S295" s="30">
        <v>339865.02</v>
      </c>
      <c r="T295" s="34">
        <v>0</v>
      </c>
      <c r="U295" s="1">
        <f t="shared" si="142"/>
        <v>51979.35</v>
      </c>
      <c r="V295" s="42">
        <v>51979.35</v>
      </c>
      <c r="W295" s="42">
        <v>0</v>
      </c>
      <c r="X295" s="1">
        <f t="shared" si="143"/>
        <v>7996.83</v>
      </c>
      <c r="Y295" s="30">
        <v>7996.83</v>
      </c>
      <c r="Z295" s="30">
        <v>0</v>
      </c>
      <c r="AA295" s="2">
        <f t="shared" si="144"/>
        <v>0</v>
      </c>
      <c r="AB295" s="34">
        <v>0</v>
      </c>
      <c r="AC295" s="34">
        <v>0</v>
      </c>
      <c r="AD295" s="16">
        <f t="shared" si="126"/>
        <v>399841.2</v>
      </c>
      <c r="AE295" s="30">
        <v>0</v>
      </c>
      <c r="AF295" s="2">
        <f t="shared" si="145"/>
        <v>399841.2</v>
      </c>
      <c r="AG295" s="21" t="s">
        <v>857</v>
      </c>
      <c r="AH295" s="38"/>
      <c r="AI295" s="30">
        <v>229276.43000000002</v>
      </c>
      <c r="AJ295" s="30">
        <v>35065.81</v>
      </c>
    </row>
    <row r="296" spans="1:36" ht="141.75" x14ac:dyDescent="0.25">
      <c r="A296" s="6">
        <v>293</v>
      </c>
      <c r="B296" s="31">
        <v>126286</v>
      </c>
      <c r="C296" s="11">
        <v>513</v>
      </c>
      <c r="D296" s="9" t="s">
        <v>1638</v>
      </c>
      <c r="E296" s="32" t="s">
        <v>899</v>
      </c>
      <c r="F296" s="11" t="s">
        <v>944</v>
      </c>
      <c r="G296" s="11" t="s">
        <v>945</v>
      </c>
      <c r="H296" s="8" t="s">
        <v>151</v>
      </c>
      <c r="I296" s="32" t="s">
        <v>2763</v>
      </c>
      <c r="J296" s="25">
        <v>43451</v>
      </c>
      <c r="K296" s="25">
        <v>44182</v>
      </c>
      <c r="L296" s="26">
        <f t="shared" si="140"/>
        <v>85.000000627550136</v>
      </c>
      <c r="M296" s="11">
        <v>3</v>
      </c>
      <c r="N296" s="11" t="s">
        <v>1147</v>
      </c>
      <c r="O296" s="11" t="s">
        <v>945</v>
      </c>
      <c r="P296" s="11" t="s">
        <v>174</v>
      </c>
      <c r="Q296" s="11" t="s">
        <v>460</v>
      </c>
      <c r="R296" s="2">
        <f t="shared" si="141"/>
        <v>2370328.59</v>
      </c>
      <c r="S296" s="30">
        <v>2370328.59</v>
      </c>
      <c r="T296" s="34">
        <v>0</v>
      </c>
      <c r="U296" s="1">
        <f t="shared" si="142"/>
        <v>362520.82</v>
      </c>
      <c r="V296" s="42">
        <v>362520.82</v>
      </c>
      <c r="W296" s="42">
        <v>0</v>
      </c>
      <c r="X296" s="1">
        <f t="shared" si="143"/>
        <v>55772.44</v>
      </c>
      <c r="Y296" s="30">
        <v>55772.44</v>
      </c>
      <c r="Z296" s="30">
        <v>0</v>
      </c>
      <c r="AA296" s="2">
        <f t="shared" si="144"/>
        <v>0</v>
      </c>
      <c r="AB296" s="34">
        <v>0</v>
      </c>
      <c r="AC296" s="34">
        <v>0</v>
      </c>
      <c r="AD296" s="16">
        <f t="shared" si="126"/>
        <v>2788621.8499999996</v>
      </c>
      <c r="AE296" s="30">
        <v>0</v>
      </c>
      <c r="AF296" s="2">
        <f t="shared" si="145"/>
        <v>2788621.8499999996</v>
      </c>
      <c r="AG296" s="38" t="s">
        <v>857</v>
      </c>
      <c r="AH296" s="38" t="s">
        <v>151</v>
      </c>
      <c r="AI296" s="30">
        <f>627672.32-17778.09+287234.86+139082.99+89907.24+794027.5-2746.9+72930.32-12652.29 -1844.57-726.44</f>
        <v>1975106.9400000002</v>
      </c>
      <c r="AJ296" s="30">
        <f>63184.36+17778.09+43930.03+21271.52+17999.69+121439.5+2746.9+11154.05+1844.57+726.44</f>
        <v>302075.15000000002</v>
      </c>
    </row>
    <row r="297" spans="1:36" ht="141.75" x14ac:dyDescent="0.25">
      <c r="A297" s="6">
        <v>294</v>
      </c>
      <c r="B297" s="31">
        <v>129573</v>
      </c>
      <c r="C297" s="11">
        <v>665</v>
      </c>
      <c r="D297" s="9" t="s">
        <v>1638</v>
      </c>
      <c r="E297" s="32" t="s">
        <v>1071</v>
      </c>
      <c r="F297" s="11" t="s">
        <v>1146</v>
      </c>
      <c r="G297" s="11" t="s">
        <v>191</v>
      </c>
      <c r="H297" s="8" t="s">
        <v>151</v>
      </c>
      <c r="I297" s="32" t="s">
        <v>2764</v>
      </c>
      <c r="J297" s="25">
        <v>43654</v>
      </c>
      <c r="K297" s="25">
        <v>44750</v>
      </c>
      <c r="L297" s="26">
        <f t="shared" si="140"/>
        <v>85.000000000000014</v>
      </c>
      <c r="M297" s="11">
        <v>3</v>
      </c>
      <c r="N297" s="11" t="s">
        <v>1147</v>
      </c>
      <c r="O297" s="11" t="s">
        <v>193</v>
      </c>
      <c r="P297" s="11" t="s">
        <v>174</v>
      </c>
      <c r="Q297" s="11" t="s">
        <v>460</v>
      </c>
      <c r="R297" s="2">
        <f t="shared" si="141"/>
        <v>2547988.73</v>
      </c>
      <c r="S297" s="30">
        <v>2547988.73</v>
      </c>
      <c r="T297" s="34">
        <v>0</v>
      </c>
      <c r="U297" s="1">
        <f t="shared" si="142"/>
        <v>389692.4</v>
      </c>
      <c r="V297" s="42">
        <v>389692.4</v>
      </c>
      <c r="W297" s="42">
        <v>0</v>
      </c>
      <c r="X297" s="1">
        <f t="shared" si="143"/>
        <v>59952.67</v>
      </c>
      <c r="Y297" s="30">
        <v>59952.67</v>
      </c>
      <c r="Z297" s="30">
        <v>0</v>
      </c>
      <c r="AA297" s="2">
        <f t="shared" si="144"/>
        <v>0</v>
      </c>
      <c r="AB297" s="34">
        <v>0</v>
      </c>
      <c r="AC297" s="34">
        <v>0</v>
      </c>
      <c r="AD297" s="16">
        <f t="shared" si="126"/>
        <v>2997633.8</v>
      </c>
      <c r="AE297" s="30">
        <v>21896</v>
      </c>
      <c r="AF297" s="2">
        <f t="shared" si="145"/>
        <v>3019529.8</v>
      </c>
      <c r="AG297" s="38" t="s">
        <v>857</v>
      </c>
      <c r="AH297" s="38" t="s">
        <v>1804</v>
      </c>
      <c r="AI297" s="30">
        <f>72625.7+892213.31+580328.59+448089.25+33859.96</f>
        <v>2027116.81</v>
      </c>
      <c r="AJ297" s="30">
        <f>11107.46+136456.15+88756.14+68531.29+5178.59</f>
        <v>310029.63</v>
      </c>
    </row>
    <row r="298" spans="1:36" ht="250.5" customHeight="1" x14ac:dyDescent="0.25">
      <c r="A298" s="6">
        <v>295</v>
      </c>
      <c r="B298" s="31">
        <v>129682</v>
      </c>
      <c r="C298" s="11">
        <v>666</v>
      </c>
      <c r="D298" s="9" t="s">
        <v>1638</v>
      </c>
      <c r="E298" s="32" t="s">
        <v>1071</v>
      </c>
      <c r="F298" s="11" t="s">
        <v>1187</v>
      </c>
      <c r="G298" s="11" t="s">
        <v>1656</v>
      </c>
      <c r="H298" s="8" t="s">
        <v>151</v>
      </c>
      <c r="I298" s="32" t="s">
        <v>1188</v>
      </c>
      <c r="J298" s="25">
        <v>43677</v>
      </c>
      <c r="K298" s="25">
        <v>44592</v>
      </c>
      <c r="L298" s="26">
        <f t="shared" si="140"/>
        <v>84.999999798883323</v>
      </c>
      <c r="M298" s="11">
        <v>3</v>
      </c>
      <c r="N298" s="11" t="s">
        <v>194</v>
      </c>
      <c r="O298" s="11" t="s">
        <v>1915</v>
      </c>
      <c r="P298" s="11" t="s">
        <v>174</v>
      </c>
      <c r="Q298" s="11" t="s">
        <v>460</v>
      </c>
      <c r="R298" s="2">
        <f t="shared" si="141"/>
        <v>3381122.07</v>
      </c>
      <c r="S298" s="30">
        <v>3381122.07</v>
      </c>
      <c r="T298" s="34">
        <v>0</v>
      </c>
      <c r="U298" s="1">
        <f t="shared" si="142"/>
        <v>517112.16</v>
      </c>
      <c r="V298" s="42">
        <v>517112.16</v>
      </c>
      <c r="W298" s="42">
        <v>0</v>
      </c>
      <c r="X298" s="1">
        <f t="shared" si="143"/>
        <v>79556.45</v>
      </c>
      <c r="Y298" s="30">
        <v>79556.45</v>
      </c>
      <c r="Z298" s="34">
        <v>0</v>
      </c>
      <c r="AA298" s="2">
        <f t="shared" si="144"/>
        <v>0</v>
      </c>
      <c r="AB298" s="2">
        <v>0</v>
      </c>
      <c r="AC298" s="2">
        <v>0</v>
      </c>
      <c r="AD298" s="16">
        <f t="shared" si="126"/>
        <v>3977790.68</v>
      </c>
      <c r="AE298" s="30">
        <v>0</v>
      </c>
      <c r="AF298" s="2">
        <f t="shared" si="145"/>
        <v>3977790.68</v>
      </c>
      <c r="AG298" s="38" t="s">
        <v>857</v>
      </c>
      <c r="AH298" s="38" t="s">
        <v>151</v>
      </c>
      <c r="AI298" s="30">
        <f>232011.58+75548+208007.75+777843.5+140612.95+616612.95+365761.8+812909.4</f>
        <v>3229307.9299999997</v>
      </c>
      <c r="AJ298" s="30">
        <f>35483.98+11554.29+31812.88+118964.3+21505.4+94305.42+55939.95+124327.29</f>
        <v>493893.51</v>
      </c>
    </row>
    <row r="299" spans="1:36" ht="210.75" customHeight="1" x14ac:dyDescent="0.25">
      <c r="A299" s="6">
        <v>296</v>
      </c>
      <c r="B299" s="31">
        <v>135925</v>
      </c>
      <c r="C299" s="11">
        <v>767</v>
      </c>
      <c r="D299" s="9" t="s">
        <v>1638</v>
      </c>
      <c r="E299" s="24" t="s">
        <v>1441</v>
      </c>
      <c r="F299" s="11" t="s">
        <v>1457</v>
      </c>
      <c r="G299" s="11" t="s">
        <v>1458</v>
      </c>
      <c r="H299" s="8" t="s">
        <v>151</v>
      </c>
      <c r="I299" s="32" t="s">
        <v>2765</v>
      </c>
      <c r="J299" s="25">
        <v>43959</v>
      </c>
      <c r="K299" s="25">
        <v>44508</v>
      </c>
      <c r="L299" s="26">
        <f t="shared" si="140"/>
        <v>84.999999999999986</v>
      </c>
      <c r="M299" s="11">
        <v>3</v>
      </c>
      <c r="N299" s="11" t="s">
        <v>194</v>
      </c>
      <c r="O299" s="11" t="s">
        <v>1458</v>
      </c>
      <c r="P299" s="11" t="s">
        <v>174</v>
      </c>
      <c r="Q299" s="11" t="s">
        <v>1450</v>
      </c>
      <c r="R299" s="2">
        <f t="shared" si="141"/>
        <v>1880240.97</v>
      </c>
      <c r="S299" s="30">
        <v>1880240.97</v>
      </c>
      <c r="T299" s="34">
        <v>0</v>
      </c>
      <c r="U299" s="1">
        <f t="shared" si="142"/>
        <v>287566.27</v>
      </c>
      <c r="V299" s="42">
        <v>287566.27</v>
      </c>
      <c r="W299" s="42">
        <v>0</v>
      </c>
      <c r="X299" s="1">
        <f t="shared" si="143"/>
        <v>44240.959999999999</v>
      </c>
      <c r="Y299" s="30">
        <v>44240.959999999999</v>
      </c>
      <c r="Z299" s="34">
        <v>0</v>
      </c>
      <c r="AA299" s="2">
        <f t="shared" si="144"/>
        <v>0</v>
      </c>
      <c r="AB299" s="2">
        <v>0</v>
      </c>
      <c r="AC299" s="2">
        <v>0</v>
      </c>
      <c r="AD299" s="16">
        <f t="shared" si="126"/>
        <v>2212048.2000000002</v>
      </c>
      <c r="AE299" s="30">
        <v>2975</v>
      </c>
      <c r="AF299" s="2">
        <f t="shared" si="145"/>
        <v>2215023.2000000002</v>
      </c>
      <c r="AG299" s="38" t="s">
        <v>857</v>
      </c>
      <c r="AH299" s="38" t="s">
        <v>1753</v>
      </c>
      <c r="AI299" s="30">
        <f>216000-24481.73+44910.08+216000+179158.75-179158.75</f>
        <v>452428.35</v>
      </c>
      <c r="AJ299" s="30">
        <f>24481.73+11677.9+27400.75-27400.75</f>
        <v>36159.629999999997</v>
      </c>
    </row>
    <row r="300" spans="1:36" ht="267.75" x14ac:dyDescent="0.25">
      <c r="A300" s="6">
        <v>297</v>
      </c>
      <c r="B300" s="31">
        <v>136159</v>
      </c>
      <c r="C300" s="11">
        <v>846</v>
      </c>
      <c r="D300" s="9" t="s">
        <v>1638</v>
      </c>
      <c r="E300" s="24" t="s">
        <v>1441</v>
      </c>
      <c r="F300" s="11" t="s">
        <v>1463</v>
      </c>
      <c r="G300" s="11" t="s">
        <v>945</v>
      </c>
      <c r="H300" s="8" t="s">
        <v>151</v>
      </c>
      <c r="I300" s="32" t="s">
        <v>1464</v>
      </c>
      <c r="J300" s="25">
        <v>43959</v>
      </c>
      <c r="K300" s="25">
        <v>44993</v>
      </c>
      <c r="L300" s="26">
        <f t="shared" si="140"/>
        <v>84.999999999999986</v>
      </c>
      <c r="M300" s="11">
        <v>3</v>
      </c>
      <c r="N300" s="11" t="s">
        <v>194</v>
      </c>
      <c r="O300" s="11" t="s">
        <v>945</v>
      </c>
      <c r="P300" s="11" t="s">
        <v>174</v>
      </c>
      <c r="Q300" s="11" t="s">
        <v>1450</v>
      </c>
      <c r="R300" s="2">
        <f t="shared" si="141"/>
        <v>1894229.42</v>
      </c>
      <c r="S300" s="30">
        <v>1894229.42</v>
      </c>
      <c r="T300" s="34">
        <v>0</v>
      </c>
      <c r="U300" s="1">
        <f t="shared" si="142"/>
        <v>289705.68</v>
      </c>
      <c r="V300" s="42">
        <v>289705.68</v>
      </c>
      <c r="W300" s="42">
        <v>0</v>
      </c>
      <c r="X300" s="1">
        <f t="shared" si="143"/>
        <v>44570.1</v>
      </c>
      <c r="Y300" s="30">
        <v>44570.1</v>
      </c>
      <c r="Z300" s="34">
        <v>0</v>
      </c>
      <c r="AA300" s="2">
        <f t="shared" si="144"/>
        <v>0</v>
      </c>
      <c r="AB300" s="2">
        <v>0</v>
      </c>
      <c r="AC300" s="2">
        <v>0</v>
      </c>
      <c r="AD300" s="16">
        <f t="shared" si="126"/>
        <v>2228505.2000000002</v>
      </c>
      <c r="AE300" s="30">
        <v>0</v>
      </c>
      <c r="AF300" s="2">
        <f t="shared" si="145"/>
        <v>2228505.2000000002</v>
      </c>
      <c r="AG300" s="38" t="s">
        <v>486</v>
      </c>
      <c r="AH300" s="38" t="s">
        <v>1853</v>
      </c>
      <c r="AI300" s="30">
        <f>207152.02-5478.06-136607.56-980+52494.71+16815.94</f>
        <v>133397.04999999999</v>
      </c>
      <c r="AJ300" s="30">
        <f>5478.06+4473.27-130+10580.57</f>
        <v>20401.900000000001</v>
      </c>
    </row>
    <row r="301" spans="1:36" ht="267.75" x14ac:dyDescent="0.25">
      <c r="A301" s="6">
        <v>298</v>
      </c>
      <c r="B301" s="31">
        <v>136243</v>
      </c>
      <c r="C301" s="11">
        <v>824</v>
      </c>
      <c r="D301" s="9" t="s">
        <v>1638</v>
      </c>
      <c r="E301" s="24" t="s">
        <v>1441</v>
      </c>
      <c r="F301" s="11" t="s">
        <v>1490</v>
      </c>
      <c r="G301" s="11" t="s">
        <v>1491</v>
      </c>
      <c r="H301" s="8" t="s">
        <v>151</v>
      </c>
      <c r="I301" s="32" t="s">
        <v>1492</v>
      </c>
      <c r="J301" s="25">
        <v>43969</v>
      </c>
      <c r="K301" s="25">
        <v>45095</v>
      </c>
      <c r="L301" s="26">
        <f t="shared" si="140"/>
        <v>85.000000012520232</v>
      </c>
      <c r="M301" s="11">
        <v>3</v>
      </c>
      <c r="N301" s="11" t="s">
        <v>194</v>
      </c>
      <c r="O301" s="11" t="s">
        <v>1491</v>
      </c>
      <c r="P301" s="11" t="s">
        <v>174</v>
      </c>
      <c r="Q301" s="11" t="s">
        <v>1450</v>
      </c>
      <c r="R301" s="2">
        <f t="shared" si="141"/>
        <v>3394504.81</v>
      </c>
      <c r="S301" s="30">
        <v>3394504.81</v>
      </c>
      <c r="T301" s="34">
        <v>0</v>
      </c>
      <c r="U301" s="1">
        <f t="shared" si="142"/>
        <v>519159.56</v>
      </c>
      <c r="V301" s="42">
        <v>519159.56</v>
      </c>
      <c r="W301" s="42">
        <v>0</v>
      </c>
      <c r="X301" s="1">
        <f t="shared" si="143"/>
        <v>79870.7</v>
      </c>
      <c r="Y301" s="30">
        <v>79870.7</v>
      </c>
      <c r="Z301" s="34">
        <v>0</v>
      </c>
      <c r="AA301" s="2">
        <f t="shared" si="144"/>
        <v>0</v>
      </c>
      <c r="AB301" s="2">
        <v>0</v>
      </c>
      <c r="AC301" s="2">
        <v>0</v>
      </c>
      <c r="AD301" s="16">
        <f t="shared" si="126"/>
        <v>3993535.0700000003</v>
      </c>
      <c r="AE301" s="30">
        <v>0</v>
      </c>
      <c r="AF301" s="2">
        <f t="shared" si="145"/>
        <v>3993535.0700000003</v>
      </c>
      <c r="AG301" s="38" t="s">
        <v>486</v>
      </c>
      <c r="AH301" s="38" t="s">
        <v>2199</v>
      </c>
      <c r="AI301" s="30">
        <f>14571.55+71362.34+79992.65</f>
        <v>165926.53999999998</v>
      </c>
      <c r="AJ301" s="30">
        <f>2228.59+10914.24+12234.17</f>
        <v>25377</v>
      </c>
    </row>
    <row r="302" spans="1:36" ht="220.5" customHeight="1" x14ac:dyDescent="0.25">
      <c r="A302" s="6">
        <v>299</v>
      </c>
      <c r="B302" s="31">
        <v>136133</v>
      </c>
      <c r="C302" s="11">
        <v>792</v>
      </c>
      <c r="D302" s="9" t="s">
        <v>1638</v>
      </c>
      <c r="E302" s="24" t="s">
        <v>1441</v>
      </c>
      <c r="F302" s="11" t="s">
        <v>1561</v>
      </c>
      <c r="G302" s="11" t="s">
        <v>1656</v>
      </c>
      <c r="H302" s="8" t="s">
        <v>151</v>
      </c>
      <c r="I302" s="32" t="s">
        <v>2766</v>
      </c>
      <c r="J302" s="25">
        <v>44014</v>
      </c>
      <c r="K302" s="25">
        <v>44897</v>
      </c>
      <c r="L302" s="26">
        <f t="shared" si="140"/>
        <v>85.000000233024664</v>
      </c>
      <c r="M302" s="11">
        <v>3</v>
      </c>
      <c r="N302" s="11" t="s">
        <v>194</v>
      </c>
      <c r="O302" s="11" t="s">
        <v>1915</v>
      </c>
      <c r="P302" s="11" t="s">
        <v>174</v>
      </c>
      <c r="Q302" s="11" t="s">
        <v>1450</v>
      </c>
      <c r="R302" s="2">
        <f t="shared" si="141"/>
        <v>2370993.67</v>
      </c>
      <c r="S302" s="30">
        <v>2370993.67</v>
      </c>
      <c r="T302" s="34">
        <v>0</v>
      </c>
      <c r="U302" s="1">
        <f t="shared" si="142"/>
        <v>362622.56</v>
      </c>
      <c r="V302" s="42">
        <v>362622.56</v>
      </c>
      <c r="W302" s="42">
        <v>0</v>
      </c>
      <c r="X302" s="1">
        <f t="shared" si="143"/>
        <v>55788.08</v>
      </c>
      <c r="Y302" s="30">
        <v>55788.08</v>
      </c>
      <c r="Z302" s="34">
        <v>0</v>
      </c>
      <c r="AA302" s="2">
        <f t="shared" si="144"/>
        <v>0</v>
      </c>
      <c r="AB302" s="2">
        <v>0</v>
      </c>
      <c r="AC302" s="2">
        <v>0</v>
      </c>
      <c r="AD302" s="16">
        <f t="shared" si="126"/>
        <v>2789404.31</v>
      </c>
      <c r="AE302" s="30">
        <v>0</v>
      </c>
      <c r="AF302" s="2">
        <f t="shared" si="145"/>
        <v>2789404.31</v>
      </c>
      <c r="AG302" s="38" t="s">
        <v>486</v>
      </c>
      <c r="AH302" s="38" t="s">
        <v>3288</v>
      </c>
      <c r="AI302" s="30">
        <f>60995.15+165203.29+109492.33+1058637.35+415164.65</f>
        <v>1809492.77</v>
      </c>
      <c r="AJ302" s="30">
        <f>9328.67+25266.39+16745.89+161909.24+63495.77</f>
        <v>276745.96000000002</v>
      </c>
    </row>
    <row r="303" spans="1:36" ht="267.75" x14ac:dyDescent="0.25">
      <c r="A303" s="6">
        <v>300</v>
      </c>
      <c r="B303" s="31">
        <v>152005</v>
      </c>
      <c r="C303" s="11">
        <v>1125</v>
      </c>
      <c r="D303" s="9" t="s">
        <v>1639</v>
      </c>
      <c r="E303" s="24" t="s">
        <v>1801</v>
      </c>
      <c r="F303" s="11" t="s">
        <v>1854</v>
      </c>
      <c r="G303" s="11" t="s">
        <v>1458</v>
      </c>
      <c r="H303" s="8" t="s">
        <v>151</v>
      </c>
      <c r="I303" s="32" t="s">
        <v>1855</v>
      </c>
      <c r="J303" s="25">
        <v>44503</v>
      </c>
      <c r="K303" s="25">
        <v>44988</v>
      </c>
      <c r="L303" s="26">
        <f t="shared" si="140"/>
        <v>85</v>
      </c>
      <c r="M303" s="11">
        <v>3</v>
      </c>
      <c r="N303" s="11" t="s">
        <v>194</v>
      </c>
      <c r="O303" s="11" t="s">
        <v>1458</v>
      </c>
      <c r="P303" s="11" t="s">
        <v>174</v>
      </c>
      <c r="Q303" s="11" t="s">
        <v>1450</v>
      </c>
      <c r="R303" s="2">
        <f t="shared" si="141"/>
        <v>352138</v>
      </c>
      <c r="S303" s="30">
        <v>352138</v>
      </c>
      <c r="T303" s="34">
        <v>0</v>
      </c>
      <c r="U303" s="1">
        <f t="shared" si="142"/>
        <v>53856.4</v>
      </c>
      <c r="V303" s="42">
        <v>53856.4</v>
      </c>
      <c r="W303" s="42">
        <v>0</v>
      </c>
      <c r="X303" s="1">
        <f t="shared" si="143"/>
        <v>8285.6</v>
      </c>
      <c r="Y303" s="30">
        <v>8285.6</v>
      </c>
      <c r="Z303" s="34">
        <v>0</v>
      </c>
      <c r="AA303" s="2">
        <f t="shared" si="144"/>
        <v>0</v>
      </c>
      <c r="AB303" s="2">
        <v>0</v>
      </c>
      <c r="AC303" s="2">
        <v>0</v>
      </c>
      <c r="AD303" s="16">
        <f t="shared" si="126"/>
        <v>414280</v>
      </c>
      <c r="AE303" s="30">
        <v>0</v>
      </c>
      <c r="AF303" s="2">
        <f t="shared" si="145"/>
        <v>414280</v>
      </c>
      <c r="AG303" s="38" t="s">
        <v>486</v>
      </c>
      <c r="AH303" s="38"/>
      <c r="AI303" s="30">
        <v>0</v>
      </c>
      <c r="AJ303" s="30">
        <v>0</v>
      </c>
    </row>
    <row r="304" spans="1:36" ht="126" customHeight="1" x14ac:dyDescent="0.25">
      <c r="A304" s="6">
        <v>301</v>
      </c>
      <c r="B304" s="31">
        <v>119208</v>
      </c>
      <c r="C304" s="11">
        <v>489</v>
      </c>
      <c r="D304" s="9" t="s">
        <v>1638</v>
      </c>
      <c r="E304" s="24" t="s">
        <v>457</v>
      </c>
      <c r="F304" s="11" t="s">
        <v>877</v>
      </c>
      <c r="G304" s="11" t="s">
        <v>878</v>
      </c>
      <c r="H304" s="8" t="s">
        <v>151</v>
      </c>
      <c r="I304" s="12" t="s">
        <v>2767</v>
      </c>
      <c r="J304" s="25">
        <v>43396</v>
      </c>
      <c r="K304" s="25">
        <v>43884</v>
      </c>
      <c r="L304" s="26">
        <f t="shared" ref="L304:L309" si="146">R304/AD304*100</f>
        <v>85</v>
      </c>
      <c r="M304" s="11">
        <v>1</v>
      </c>
      <c r="N304" s="11" t="s">
        <v>407</v>
      </c>
      <c r="O304" s="11" t="s">
        <v>1916</v>
      </c>
      <c r="P304" s="27" t="s">
        <v>174</v>
      </c>
      <c r="Q304" s="11" t="s">
        <v>34</v>
      </c>
      <c r="R304" s="2">
        <f t="shared" ref="R304:R309" si="147">S304+T304</f>
        <v>529360.44999999995</v>
      </c>
      <c r="S304" s="2">
        <v>529360.44999999995</v>
      </c>
      <c r="T304" s="2">
        <v>0</v>
      </c>
      <c r="U304" s="1">
        <f t="shared" ref="U304:U311" si="148">V304+W304</f>
        <v>80961.009999999995</v>
      </c>
      <c r="V304" s="28">
        <v>80961.009999999995</v>
      </c>
      <c r="W304" s="28">
        <v>0</v>
      </c>
      <c r="X304" s="1">
        <f t="shared" ref="X304:X311" si="149">Y304+Z304</f>
        <v>12455.54</v>
      </c>
      <c r="Y304" s="2">
        <v>12455.54</v>
      </c>
      <c r="Z304" s="2">
        <v>0</v>
      </c>
      <c r="AA304" s="2">
        <f t="shared" ref="AA304:AA311" si="150">AB304+AC304</f>
        <v>0</v>
      </c>
      <c r="AB304" s="2">
        <v>0</v>
      </c>
      <c r="AC304" s="2">
        <v>0</v>
      </c>
      <c r="AD304" s="16">
        <f t="shared" si="126"/>
        <v>622777</v>
      </c>
      <c r="AE304" s="2"/>
      <c r="AF304" s="2">
        <f t="shared" ref="AF304:AF311" si="151">AD304+AE304</f>
        <v>622777</v>
      </c>
      <c r="AG304" s="38" t="s">
        <v>1427</v>
      </c>
      <c r="AH304" s="29"/>
      <c r="AI304" s="30">
        <v>483717.67</v>
      </c>
      <c r="AJ304" s="30">
        <v>73980.329999999987</v>
      </c>
    </row>
    <row r="305" spans="1:36" ht="141.75" x14ac:dyDescent="0.25">
      <c r="A305" s="6">
        <v>302</v>
      </c>
      <c r="B305" s="31">
        <v>122867</v>
      </c>
      <c r="C305" s="31">
        <v>105</v>
      </c>
      <c r="D305" s="9" t="s">
        <v>1638</v>
      </c>
      <c r="E305" s="24" t="s">
        <v>277</v>
      </c>
      <c r="F305" s="11" t="s">
        <v>794</v>
      </c>
      <c r="G305" s="11" t="s">
        <v>906</v>
      </c>
      <c r="H305" s="11" t="s">
        <v>795</v>
      </c>
      <c r="I305" s="12" t="s">
        <v>796</v>
      </c>
      <c r="J305" s="25">
        <v>43342</v>
      </c>
      <c r="K305" s="25">
        <v>43707</v>
      </c>
      <c r="L305" s="26">
        <f t="shared" si="146"/>
        <v>84.194914940710191</v>
      </c>
      <c r="M305" s="11">
        <v>1</v>
      </c>
      <c r="N305" s="11" t="s">
        <v>407</v>
      </c>
      <c r="O305" s="11" t="s">
        <v>797</v>
      </c>
      <c r="P305" s="27" t="s">
        <v>174</v>
      </c>
      <c r="Q305" s="11" t="s">
        <v>34</v>
      </c>
      <c r="R305" s="2">
        <f t="shared" si="147"/>
        <v>351606.78</v>
      </c>
      <c r="S305" s="2">
        <v>351606.78</v>
      </c>
      <c r="T305" s="2">
        <v>0</v>
      </c>
      <c r="U305" s="1">
        <f t="shared" si="148"/>
        <v>57651.47</v>
      </c>
      <c r="V305" s="28">
        <v>57651.47</v>
      </c>
      <c r="W305" s="28">
        <v>0</v>
      </c>
      <c r="X305" s="1">
        <f t="shared" si="149"/>
        <v>8352.2199999999993</v>
      </c>
      <c r="Y305" s="2">
        <v>8352.2199999999993</v>
      </c>
      <c r="Z305" s="2">
        <v>0</v>
      </c>
      <c r="AA305" s="2">
        <f t="shared" si="150"/>
        <v>0</v>
      </c>
      <c r="AB305" s="2">
        <v>0</v>
      </c>
      <c r="AC305" s="2">
        <v>0</v>
      </c>
      <c r="AD305" s="16">
        <f t="shared" si="126"/>
        <v>417610.47</v>
      </c>
      <c r="AE305" s="2"/>
      <c r="AF305" s="2">
        <f t="shared" si="151"/>
        <v>417610.47</v>
      </c>
      <c r="AG305" s="21" t="s">
        <v>857</v>
      </c>
      <c r="AH305" s="29" t="s">
        <v>294</v>
      </c>
      <c r="AI305" s="30">
        <v>320784.53000000003</v>
      </c>
      <c r="AJ305" s="30">
        <v>52280.650000000009</v>
      </c>
    </row>
    <row r="306" spans="1:36" ht="189" x14ac:dyDescent="0.25">
      <c r="A306" s="6">
        <v>303</v>
      </c>
      <c r="B306" s="31">
        <v>126260</v>
      </c>
      <c r="C306" s="11">
        <v>526</v>
      </c>
      <c r="D306" s="9" t="s">
        <v>1638</v>
      </c>
      <c r="E306" s="24" t="s">
        <v>899</v>
      </c>
      <c r="F306" s="11" t="s">
        <v>907</v>
      </c>
      <c r="G306" s="11" t="s">
        <v>906</v>
      </c>
      <c r="H306" s="8" t="s">
        <v>151</v>
      </c>
      <c r="I306" s="12" t="s">
        <v>2768</v>
      </c>
      <c r="J306" s="25">
        <v>43433</v>
      </c>
      <c r="K306" s="25">
        <v>44284</v>
      </c>
      <c r="L306" s="26">
        <f t="shared" si="146"/>
        <v>84.999999887651384</v>
      </c>
      <c r="M306" s="11">
        <v>1</v>
      </c>
      <c r="N306" s="11" t="s">
        <v>407</v>
      </c>
      <c r="O306" s="11" t="s">
        <v>797</v>
      </c>
      <c r="P306" s="27" t="s">
        <v>174</v>
      </c>
      <c r="Q306" s="11" t="s">
        <v>34</v>
      </c>
      <c r="R306" s="2">
        <f t="shared" si="147"/>
        <v>2269720.81</v>
      </c>
      <c r="S306" s="2">
        <v>2269720.81</v>
      </c>
      <c r="T306" s="2">
        <v>0</v>
      </c>
      <c r="U306" s="1">
        <f t="shared" si="148"/>
        <v>347133.77</v>
      </c>
      <c r="V306" s="28">
        <v>347133.77</v>
      </c>
      <c r="W306" s="28">
        <v>0</v>
      </c>
      <c r="X306" s="1">
        <f t="shared" si="149"/>
        <v>53405.2</v>
      </c>
      <c r="Y306" s="2">
        <v>53405.2</v>
      </c>
      <c r="Z306" s="2">
        <v>0</v>
      </c>
      <c r="AA306" s="2">
        <f t="shared" si="150"/>
        <v>0</v>
      </c>
      <c r="AB306" s="2">
        <v>0</v>
      </c>
      <c r="AC306" s="2">
        <v>0</v>
      </c>
      <c r="AD306" s="16">
        <f t="shared" si="126"/>
        <v>2670259.7800000003</v>
      </c>
      <c r="AE306" s="2">
        <v>57120</v>
      </c>
      <c r="AF306" s="2">
        <f t="shared" si="151"/>
        <v>2727379.7800000003</v>
      </c>
      <c r="AG306" s="38" t="s">
        <v>857</v>
      </c>
      <c r="AH306" s="29" t="s">
        <v>1670</v>
      </c>
      <c r="AI306" s="30">
        <f>176317.2+454574.91+552196.35+622670.87+112586.33</f>
        <v>1918345.6600000001</v>
      </c>
      <c r="AJ306" s="30">
        <f>26966.16+69523.21+84453.54+95232.02+17219.08</f>
        <v>293394.01</v>
      </c>
    </row>
    <row r="307" spans="1:36" ht="267.75" x14ac:dyDescent="0.25">
      <c r="A307" s="6">
        <v>304</v>
      </c>
      <c r="B307" s="31">
        <v>136304</v>
      </c>
      <c r="C307" s="11">
        <v>807</v>
      </c>
      <c r="D307" s="9" t="s">
        <v>1638</v>
      </c>
      <c r="E307" s="24" t="s">
        <v>1441</v>
      </c>
      <c r="F307" s="11" t="s">
        <v>1459</v>
      </c>
      <c r="G307" s="11" t="s">
        <v>879</v>
      </c>
      <c r="H307" s="8" t="s">
        <v>151</v>
      </c>
      <c r="I307" s="12" t="s">
        <v>1460</v>
      </c>
      <c r="J307" s="25">
        <v>43959</v>
      </c>
      <c r="K307" s="25">
        <v>44750</v>
      </c>
      <c r="L307" s="26">
        <f t="shared" si="146"/>
        <v>85.000000207537823</v>
      </c>
      <c r="M307" s="11">
        <v>1</v>
      </c>
      <c r="N307" s="11" t="s">
        <v>407</v>
      </c>
      <c r="O307" s="11" t="s">
        <v>1916</v>
      </c>
      <c r="P307" s="27" t="s">
        <v>174</v>
      </c>
      <c r="Q307" s="11" t="s">
        <v>1450</v>
      </c>
      <c r="R307" s="2">
        <f t="shared" si="147"/>
        <v>3276511.26</v>
      </c>
      <c r="S307" s="2">
        <v>3276511.26</v>
      </c>
      <c r="T307" s="2">
        <v>0</v>
      </c>
      <c r="U307" s="1">
        <f t="shared" si="148"/>
        <v>501113.47</v>
      </c>
      <c r="V307" s="28">
        <v>501113.47</v>
      </c>
      <c r="W307" s="28">
        <v>0</v>
      </c>
      <c r="X307" s="1">
        <f t="shared" si="149"/>
        <v>77094.39</v>
      </c>
      <c r="Y307" s="2">
        <v>77094.39</v>
      </c>
      <c r="Z307" s="2">
        <v>0</v>
      </c>
      <c r="AA307" s="2">
        <f t="shared" si="150"/>
        <v>0</v>
      </c>
      <c r="AB307" s="2">
        <v>0</v>
      </c>
      <c r="AC307" s="2">
        <v>0</v>
      </c>
      <c r="AD307" s="16">
        <f t="shared" si="126"/>
        <v>3854719.1199999996</v>
      </c>
      <c r="AE307" s="2">
        <v>0</v>
      </c>
      <c r="AF307" s="2">
        <f t="shared" si="151"/>
        <v>3854719.1199999996</v>
      </c>
      <c r="AG307" s="38" t="s">
        <v>857</v>
      </c>
      <c r="AH307" s="38" t="s">
        <v>1739</v>
      </c>
      <c r="AI307" s="30">
        <f>19470.95+79241.25+59313+212713.2+56806.35+850875.5+279844.65+870336.25+707987.29</f>
        <v>3136588.44</v>
      </c>
      <c r="AJ307" s="30">
        <f>2977.91+12119.25+9071.4+32532.6+8688.03+130133.9+42799.77+133110.25+108280.41</f>
        <v>479713.52</v>
      </c>
    </row>
    <row r="308" spans="1:36" ht="267.75" x14ac:dyDescent="0.25">
      <c r="A308" s="6">
        <v>305</v>
      </c>
      <c r="B308" s="31">
        <v>135378</v>
      </c>
      <c r="C308" s="11">
        <v>795</v>
      </c>
      <c r="D308" s="9" t="s">
        <v>1638</v>
      </c>
      <c r="E308" s="24" t="s">
        <v>1441</v>
      </c>
      <c r="F308" s="11" t="s">
        <v>1544</v>
      </c>
      <c r="G308" s="11" t="s">
        <v>906</v>
      </c>
      <c r="H308" s="8" t="s">
        <v>151</v>
      </c>
      <c r="I308" s="12" t="s">
        <v>2769</v>
      </c>
      <c r="J308" s="25">
        <v>44001</v>
      </c>
      <c r="K308" s="25">
        <v>44700</v>
      </c>
      <c r="L308" s="26">
        <f t="shared" si="146"/>
        <v>85.000000232719501</v>
      </c>
      <c r="M308" s="11">
        <v>1</v>
      </c>
      <c r="N308" s="11" t="s">
        <v>407</v>
      </c>
      <c r="O308" s="11" t="s">
        <v>906</v>
      </c>
      <c r="P308" s="27" t="s">
        <v>174</v>
      </c>
      <c r="Q308" s="11" t="s">
        <v>1450</v>
      </c>
      <c r="R308" s="2">
        <f t="shared" si="147"/>
        <v>2739349.45</v>
      </c>
      <c r="S308" s="2">
        <v>2739349.45</v>
      </c>
      <c r="T308" s="2">
        <v>0</v>
      </c>
      <c r="U308" s="1">
        <f t="shared" si="148"/>
        <v>418959.32</v>
      </c>
      <c r="V308" s="28">
        <v>418959.32</v>
      </c>
      <c r="W308" s="28">
        <v>0</v>
      </c>
      <c r="X308" s="1">
        <f t="shared" si="149"/>
        <v>64455.28</v>
      </c>
      <c r="Y308" s="2">
        <v>64455.28</v>
      </c>
      <c r="Z308" s="2">
        <v>0</v>
      </c>
      <c r="AA308" s="2">
        <f t="shared" si="150"/>
        <v>0</v>
      </c>
      <c r="AB308" s="2">
        <v>0</v>
      </c>
      <c r="AC308" s="2">
        <v>0</v>
      </c>
      <c r="AD308" s="16">
        <f t="shared" si="126"/>
        <v>3222764.05</v>
      </c>
      <c r="AE308" s="2">
        <v>0</v>
      </c>
      <c r="AF308" s="2">
        <f t="shared" si="151"/>
        <v>3222764.05</v>
      </c>
      <c r="AG308" s="38" t="s">
        <v>857</v>
      </c>
      <c r="AH308" s="38" t="s">
        <v>1764</v>
      </c>
      <c r="AI308" s="30">
        <f>122320.43+70052.75+88977.42+77843.43+1587415.81+101483.2+489423.41</f>
        <v>2537516.4500000002</v>
      </c>
      <c r="AJ308" s="30">
        <f>18707.84+10713.95+13608.31+11905.47+242781.24+15520.96+74852.99</f>
        <v>388090.76</v>
      </c>
    </row>
    <row r="309" spans="1:36" ht="170.25" customHeight="1" x14ac:dyDescent="0.25">
      <c r="A309" s="6">
        <v>306</v>
      </c>
      <c r="B309" s="31">
        <v>152131</v>
      </c>
      <c r="C309" s="11">
        <v>1136</v>
      </c>
      <c r="D309" s="9" t="s">
        <v>1639</v>
      </c>
      <c r="E309" s="24" t="s">
        <v>1801</v>
      </c>
      <c r="F309" s="11" t="s">
        <v>1865</v>
      </c>
      <c r="G309" s="11" t="s">
        <v>878</v>
      </c>
      <c r="H309" s="8" t="s">
        <v>151</v>
      </c>
      <c r="I309" s="12" t="s">
        <v>1866</v>
      </c>
      <c r="J309" s="25">
        <v>44518</v>
      </c>
      <c r="K309" s="25">
        <v>45003</v>
      </c>
      <c r="L309" s="26">
        <f t="shared" si="146"/>
        <v>85.000004117626744</v>
      </c>
      <c r="M309" s="11">
        <v>1</v>
      </c>
      <c r="N309" s="11" t="s">
        <v>407</v>
      </c>
      <c r="O309" s="11" t="s">
        <v>1916</v>
      </c>
      <c r="P309" s="27" t="s">
        <v>174</v>
      </c>
      <c r="Q309" s="11" t="s">
        <v>1450</v>
      </c>
      <c r="R309" s="2">
        <f t="shared" si="147"/>
        <v>350930.32</v>
      </c>
      <c r="S309" s="2">
        <v>350930.32</v>
      </c>
      <c r="T309" s="2">
        <v>0</v>
      </c>
      <c r="U309" s="1">
        <f t="shared" si="148"/>
        <v>53671.67</v>
      </c>
      <c r="V309" s="28">
        <v>53671.67</v>
      </c>
      <c r="W309" s="28">
        <v>0</v>
      </c>
      <c r="X309" s="1">
        <f t="shared" si="149"/>
        <v>8257.19</v>
      </c>
      <c r="Y309" s="2">
        <v>8257.19</v>
      </c>
      <c r="Z309" s="2">
        <v>0</v>
      </c>
      <c r="AA309" s="2">
        <f t="shared" si="150"/>
        <v>0</v>
      </c>
      <c r="AB309" s="2">
        <v>0</v>
      </c>
      <c r="AC309" s="2">
        <v>0</v>
      </c>
      <c r="AD309" s="16">
        <f t="shared" si="126"/>
        <v>412859.18</v>
      </c>
      <c r="AE309" s="2">
        <v>0</v>
      </c>
      <c r="AF309" s="2">
        <f t="shared" si="151"/>
        <v>412859.18</v>
      </c>
      <c r="AG309" s="38" t="s">
        <v>486</v>
      </c>
      <c r="AH309" s="38"/>
      <c r="AI309" s="30">
        <f>15620.45+49291.93</f>
        <v>64912.380000000005</v>
      </c>
      <c r="AJ309" s="30">
        <f>2389.01+7538.76</f>
        <v>9927.77</v>
      </c>
    </row>
    <row r="310" spans="1:36" ht="170.25" customHeight="1" x14ac:dyDescent="0.25">
      <c r="A310" s="6">
        <v>307</v>
      </c>
      <c r="B310" s="31">
        <v>154741</v>
      </c>
      <c r="C310" s="11">
        <v>1219</v>
      </c>
      <c r="D310" s="9" t="s">
        <v>1638</v>
      </c>
      <c r="E310" s="24" t="s">
        <v>2012</v>
      </c>
      <c r="F310" s="11" t="s">
        <v>2168</v>
      </c>
      <c r="G310" s="11" t="s">
        <v>878</v>
      </c>
      <c r="H310" s="8" t="s">
        <v>151</v>
      </c>
      <c r="I310" s="12" t="s">
        <v>2169</v>
      </c>
      <c r="J310" s="25">
        <v>44678</v>
      </c>
      <c r="K310" s="25">
        <v>45165</v>
      </c>
      <c r="L310" s="26">
        <f>R310/AD310*100</f>
        <v>84.999999924386955</v>
      </c>
      <c r="M310" s="11">
        <v>1</v>
      </c>
      <c r="N310" s="11" t="s">
        <v>407</v>
      </c>
      <c r="O310" s="11" t="s">
        <v>1916</v>
      </c>
      <c r="P310" s="27" t="s">
        <v>174</v>
      </c>
      <c r="Q310" s="11" t="s">
        <v>1450</v>
      </c>
      <c r="R310" s="2">
        <f>S310+T310</f>
        <v>3372433.63</v>
      </c>
      <c r="S310" s="2">
        <v>3372433.63</v>
      </c>
      <c r="T310" s="2">
        <v>0</v>
      </c>
      <c r="U310" s="1">
        <f t="shared" si="148"/>
        <v>515783.97</v>
      </c>
      <c r="V310" s="28">
        <v>515783.97</v>
      </c>
      <c r="W310" s="28">
        <v>0</v>
      </c>
      <c r="X310" s="1">
        <f t="shared" si="149"/>
        <v>79351.38</v>
      </c>
      <c r="Y310" s="2">
        <v>79351.38</v>
      </c>
      <c r="Z310" s="2">
        <v>0</v>
      </c>
      <c r="AA310" s="2">
        <f t="shared" si="150"/>
        <v>0</v>
      </c>
      <c r="AB310" s="2">
        <v>0</v>
      </c>
      <c r="AC310" s="2">
        <v>0</v>
      </c>
      <c r="AD310" s="16">
        <f t="shared" si="126"/>
        <v>3967568.9799999995</v>
      </c>
      <c r="AE310" s="2">
        <v>0</v>
      </c>
      <c r="AF310" s="2">
        <f t="shared" si="151"/>
        <v>3967568.9799999995</v>
      </c>
      <c r="AG310" s="38" t="s">
        <v>486</v>
      </c>
      <c r="AH310" s="38"/>
      <c r="AI310" s="30">
        <v>0</v>
      </c>
      <c r="AJ310" s="30">
        <v>0</v>
      </c>
    </row>
    <row r="311" spans="1:36" ht="170.25" customHeight="1" x14ac:dyDescent="0.25">
      <c r="A311" s="6">
        <v>308</v>
      </c>
      <c r="B311" s="31">
        <v>155229</v>
      </c>
      <c r="C311" s="11">
        <v>1245</v>
      </c>
      <c r="D311" s="9" t="s">
        <v>1638</v>
      </c>
      <c r="E311" s="24" t="s">
        <v>2012</v>
      </c>
      <c r="F311" s="11" t="s">
        <v>2185</v>
      </c>
      <c r="G311" s="11" t="s">
        <v>879</v>
      </c>
      <c r="H311" s="8" t="s">
        <v>151</v>
      </c>
      <c r="I311" s="12" t="s">
        <v>2186</v>
      </c>
      <c r="J311" s="25">
        <v>44685</v>
      </c>
      <c r="K311" s="25">
        <v>45173</v>
      </c>
      <c r="L311" s="26">
        <f>R311/AD311*100</f>
        <v>85.000000383236838</v>
      </c>
      <c r="M311" s="11">
        <v>1</v>
      </c>
      <c r="N311" s="11" t="s">
        <v>407</v>
      </c>
      <c r="O311" s="11" t="s">
        <v>1916</v>
      </c>
      <c r="P311" s="27" t="s">
        <v>174</v>
      </c>
      <c r="Q311" s="11" t="s">
        <v>1450</v>
      </c>
      <c r="R311" s="2">
        <f>S311+T311</f>
        <v>2883334.5</v>
      </c>
      <c r="S311" s="2">
        <v>2883334.5</v>
      </c>
      <c r="T311" s="2">
        <v>0</v>
      </c>
      <c r="U311" s="1">
        <f t="shared" si="148"/>
        <v>440980.56</v>
      </c>
      <c r="V311" s="28">
        <v>440980.56</v>
      </c>
      <c r="W311" s="28">
        <v>0</v>
      </c>
      <c r="X311" s="1">
        <f t="shared" si="149"/>
        <v>67843.16</v>
      </c>
      <c r="Y311" s="2">
        <v>67843.16</v>
      </c>
      <c r="Z311" s="2">
        <v>0</v>
      </c>
      <c r="AA311" s="2">
        <f t="shared" si="150"/>
        <v>0</v>
      </c>
      <c r="AB311" s="2">
        <v>0</v>
      </c>
      <c r="AC311" s="2">
        <v>0</v>
      </c>
      <c r="AD311" s="16">
        <f t="shared" si="126"/>
        <v>3392158.22</v>
      </c>
      <c r="AE311" s="2">
        <v>0</v>
      </c>
      <c r="AF311" s="2">
        <f t="shared" si="151"/>
        <v>3392158.22</v>
      </c>
      <c r="AG311" s="38" t="s">
        <v>486</v>
      </c>
      <c r="AH311" s="38"/>
      <c r="AI311" s="30">
        <v>0</v>
      </c>
      <c r="AJ311" s="30">
        <v>0</v>
      </c>
    </row>
    <row r="312" spans="1:36" ht="283.5" x14ac:dyDescent="0.25">
      <c r="A312" s="6">
        <v>309</v>
      </c>
      <c r="B312" s="31">
        <v>120572</v>
      </c>
      <c r="C312" s="11">
        <v>82</v>
      </c>
      <c r="D312" s="9" t="s">
        <v>1638</v>
      </c>
      <c r="E312" s="24" t="s">
        <v>277</v>
      </c>
      <c r="F312" s="11" t="s">
        <v>266</v>
      </c>
      <c r="G312" s="11" t="s">
        <v>267</v>
      </c>
      <c r="H312" s="8" t="s">
        <v>151</v>
      </c>
      <c r="I312" s="12" t="s">
        <v>612</v>
      </c>
      <c r="J312" s="25">
        <v>43171</v>
      </c>
      <c r="K312" s="25">
        <v>43658</v>
      </c>
      <c r="L312" s="26">
        <f>R312/AD312*100</f>
        <v>85.000000359311386</v>
      </c>
      <c r="M312" s="11">
        <v>4</v>
      </c>
      <c r="N312" s="11" t="s">
        <v>268</v>
      </c>
      <c r="O312" s="11" t="s">
        <v>269</v>
      </c>
      <c r="P312" s="27" t="s">
        <v>174</v>
      </c>
      <c r="Q312" s="11" t="s">
        <v>34</v>
      </c>
      <c r="R312" s="1">
        <f>S312+T312</f>
        <v>354845.43</v>
      </c>
      <c r="S312" s="2">
        <v>354845.43</v>
      </c>
      <c r="T312" s="2">
        <v>0</v>
      </c>
      <c r="U312" s="1">
        <f>V312+W312</f>
        <v>54270.48</v>
      </c>
      <c r="V312" s="28">
        <v>54270.48</v>
      </c>
      <c r="W312" s="28">
        <v>0</v>
      </c>
      <c r="X312" s="1">
        <f>Y312+Z312</f>
        <v>8349.2999999999993</v>
      </c>
      <c r="Y312" s="2">
        <v>8349.2999999999993</v>
      </c>
      <c r="Z312" s="2">
        <v>0</v>
      </c>
      <c r="AA312" s="2">
        <f>AB312+AC312</f>
        <v>0</v>
      </c>
      <c r="AB312" s="2">
        <v>0</v>
      </c>
      <c r="AC312" s="2">
        <v>0</v>
      </c>
      <c r="AD312" s="16">
        <f t="shared" si="126"/>
        <v>417465.20999999996</v>
      </c>
      <c r="AE312" s="2">
        <v>0</v>
      </c>
      <c r="AF312" s="2">
        <f>AD312+AE312</f>
        <v>417465.20999999996</v>
      </c>
      <c r="AG312" s="21" t="s">
        <v>857</v>
      </c>
      <c r="AH312" s="29" t="s">
        <v>151</v>
      </c>
      <c r="AI312" s="30">
        <v>326317.06</v>
      </c>
      <c r="AJ312" s="30">
        <v>49907.31</v>
      </c>
    </row>
    <row r="313" spans="1:36" ht="141.75" x14ac:dyDescent="0.25">
      <c r="A313" s="6">
        <v>310</v>
      </c>
      <c r="B313" s="31">
        <v>118183</v>
      </c>
      <c r="C313" s="11">
        <v>422</v>
      </c>
      <c r="D313" s="32" t="s">
        <v>1639</v>
      </c>
      <c r="E313" s="24" t="s">
        <v>507</v>
      </c>
      <c r="F313" s="11" t="s">
        <v>611</v>
      </c>
      <c r="G313" s="11" t="s">
        <v>267</v>
      </c>
      <c r="H313" s="8" t="s">
        <v>151</v>
      </c>
      <c r="I313" s="32" t="s">
        <v>2770</v>
      </c>
      <c r="J313" s="25">
        <v>43290</v>
      </c>
      <c r="K313" s="25">
        <v>43778</v>
      </c>
      <c r="L313" s="26">
        <f>R313/AD313*100</f>
        <v>85.000012009815109</v>
      </c>
      <c r="M313" s="11">
        <v>4</v>
      </c>
      <c r="N313" s="11" t="s">
        <v>268</v>
      </c>
      <c r="O313" s="11" t="s">
        <v>269</v>
      </c>
      <c r="P313" s="27" t="s">
        <v>174</v>
      </c>
      <c r="Q313" s="11" t="s">
        <v>613</v>
      </c>
      <c r="R313" s="1">
        <f>S313+T313</f>
        <v>247714.09</v>
      </c>
      <c r="S313" s="2">
        <v>247714.09</v>
      </c>
      <c r="T313" s="2">
        <v>0</v>
      </c>
      <c r="U313" s="1">
        <f>V313+W313</f>
        <v>37885.64</v>
      </c>
      <c r="V313" s="42">
        <v>37885.64</v>
      </c>
      <c r="W313" s="28">
        <v>0</v>
      </c>
      <c r="X313" s="1">
        <f>Y313+Z313</f>
        <v>5828.57</v>
      </c>
      <c r="Y313" s="30">
        <v>5828.57</v>
      </c>
      <c r="Z313" s="2">
        <v>0</v>
      </c>
      <c r="AA313" s="2">
        <f>AB313+AC313</f>
        <v>0</v>
      </c>
      <c r="AB313" s="2">
        <v>0</v>
      </c>
      <c r="AC313" s="2">
        <v>0</v>
      </c>
      <c r="AD313" s="16">
        <f t="shared" si="126"/>
        <v>291428.3</v>
      </c>
      <c r="AE313" s="2">
        <v>0</v>
      </c>
      <c r="AF313" s="2">
        <f>AD313+AE313</f>
        <v>291428.3</v>
      </c>
      <c r="AG313" s="21" t="s">
        <v>857</v>
      </c>
      <c r="AH313" s="29" t="s">
        <v>1020</v>
      </c>
      <c r="AI313" s="30">
        <v>240263.28999999998</v>
      </c>
      <c r="AJ313" s="30">
        <v>36977.890000000021</v>
      </c>
    </row>
    <row r="314" spans="1:36" ht="141.75" x14ac:dyDescent="0.25">
      <c r="A314" s="6">
        <v>311</v>
      </c>
      <c r="B314" s="31">
        <v>126174</v>
      </c>
      <c r="C314" s="11">
        <v>534</v>
      </c>
      <c r="D314" s="9" t="s">
        <v>1638</v>
      </c>
      <c r="E314" s="11" t="s">
        <v>899</v>
      </c>
      <c r="F314" s="11" t="s">
        <v>938</v>
      </c>
      <c r="G314" s="11" t="s">
        <v>939</v>
      </c>
      <c r="H314" s="8" t="s">
        <v>151</v>
      </c>
      <c r="I314" s="12" t="s">
        <v>940</v>
      </c>
      <c r="J314" s="25">
        <v>43447</v>
      </c>
      <c r="K314" s="25">
        <v>44970</v>
      </c>
      <c r="L314" s="26">
        <f>R314/AD314*100</f>
        <v>85.000000333995757</v>
      </c>
      <c r="M314" s="11">
        <v>4</v>
      </c>
      <c r="N314" s="11" t="s">
        <v>268</v>
      </c>
      <c r="O314" s="11" t="s">
        <v>269</v>
      </c>
      <c r="P314" s="27" t="s">
        <v>174</v>
      </c>
      <c r="Q314" s="11" t="s">
        <v>34</v>
      </c>
      <c r="R314" s="1">
        <f>S314+T314</f>
        <v>2544942.5099999998</v>
      </c>
      <c r="S314" s="2">
        <v>2544942.5099999998</v>
      </c>
      <c r="T314" s="2">
        <v>0</v>
      </c>
      <c r="U314" s="1">
        <f>V314+W314</f>
        <v>389226.49</v>
      </c>
      <c r="V314" s="42">
        <v>389226.49</v>
      </c>
      <c r="W314" s="28">
        <v>0</v>
      </c>
      <c r="X314" s="1">
        <f>Y314+Z314</f>
        <v>59881</v>
      </c>
      <c r="Y314" s="30">
        <v>59881</v>
      </c>
      <c r="Z314" s="2">
        <v>0</v>
      </c>
      <c r="AA314" s="2">
        <f>AB314+AC314</f>
        <v>0</v>
      </c>
      <c r="AB314" s="2">
        <v>0</v>
      </c>
      <c r="AC314" s="2">
        <v>0</v>
      </c>
      <c r="AD314" s="16">
        <f t="shared" si="126"/>
        <v>2994050</v>
      </c>
      <c r="AE314" s="2">
        <v>0</v>
      </c>
      <c r="AF314" s="2">
        <f>AD314+AE314</f>
        <v>2994050</v>
      </c>
      <c r="AG314" s="38" t="s">
        <v>486</v>
      </c>
      <c r="AH314" s="38" t="s">
        <v>2216</v>
      </c>
      <c r="AI314" s="30">
        <f>34289.85+268684.75+606900</f>
        <v>909874.6</v>
      </c>
      <c r="AJ314" s="30">
        <f>5244.33+41092.96+92820</f>
        <v>139157.29</v>
      </c>
    </row>
    <row r="315" spans="1:36" ht="204.75" x14ac:dyDescent="0.25">
      <c r="A315" s="6">
        <v>312</v>
      </c>
      <c r="B315" s="31">
        <v>129739</v>
      </c>
      <c r="C315" s="11">
        <v>688</v>
      </c>
      <c r="D315" s="9" t="s">
        <v>1638</v>
      </c>
      <c r="E315" s="32" t="s">
        <v>1071</v>
      </c>
      <c r="F315" s="11" t="s">
        <v>1256</v>
      </c>
      <c r="G315" s="11" t="s">
        <v>267</v>
      </c>
      <c r="H315" s="8" t="s">
        <v>151</v>
      </c>
      <c r="I315" s="12" t="s">
        <v>1257</v>
      </c>
      <c r="J315" s="25">
        <v>43712</v>
      </c>
      <c r="K315" s="25">
        <v>44989</v>
      </c>
      <c r="L315" s="26">
        <f>R315/AD315*100</f>
        <v>85.000000000000014</v>
      </c>
      <c r="M315" s="11">
        <v>4</v>
      </c>
      <c r="N315" s="11" t="s">
        <v>268</v>
      </c>
      <c r="O315" s="11" t="s">
        <v>269</v>
      </c>
      <c r="P315" s="27" t="s">
        <v>174</v>
      </c>
      <c r="Q315" s="11" t="s">
        <v>34</v>
      </c>
      <c r="R315" s="1">
        <f>S315+T315</f>
        <v>3309254.34</v>
      </c>
      <c r="S315" s="2">
        <v>3309254.34</v>
      </c>
      <c r="T315" s="2">
        <v>0</v>
      </c>
      <c r="U315" s="1">
        <f>V315+W315</f>
        <v>506121.26</v>
      </c>
      <c r="V315" s="42">
        <v>506121.26</v>
      </c>
      <c r="W315" s="28">
        <v>0</v>
      </c>
      <c r="X315" s="1">
        <f>Y315+Z315</f>
        <v>77864.800000000003</v>
      </c>
      <c r="Y315" s="30">
        <v>77864.800000000003</v>
      </c>
      <c r="Z315" s="2">
        <v>0</v>
      </c>
      <c r="AA315" s="2">
        <f>AB315+AC315</f>
        <v>0</v>
      </c>
      <c r="AB315" s="2">
        <v>0</v>
      </c>
      <c r="AC315" s="2">
        <v>0</v>
      </c>
      <c r="AD315" s="16">
        <f t="shared" si="126"/>
        <v>3893240.3999999994</v>
      </c>
      <c r="AE315" s="2">
        <v>0</v>
      </c>
      <c r="AF315" s="2">
        <f>AD315+AE315</f>
        <v>3893240.3999999994</v>
      </c>
      <c r="AG315" s="38" t="s">
        <v>486</v>
      </c>
      <c r="AH315" s="29" t="s">
        <v>1925</v>
      </c>
      <c r="AI315" s="30">
        <f>74556.48+32940.05+44383.6+47957+30669.7+624895.76+164473.06+20276.75</f>
        <v>1040152.4000000001</v>
      </c>
      <c r="AJ315" s="30">
        <f>8357.89+3044.86+5037.89+6788.08+7334.6+4690.66+95572.29+25154.71+3101.15</f>
        <v>159082.12999999998</v>
      </c>
    </row>
    <row r="316" spans="1:36" ht="141.75" x14ac:dyDescent="0.25">
      <c r="A316" s="6">
        <v>313</v>
      </c>
      <c r="B316" s="31">
        <v>129726</v>
      </c>
      <c r="C316" s="11">
        <v>682</v>
      </c>
      <c r="D316" s="9" t="s">
        <v>1638</v>
      </c>
      <c r="E316" s="32" t="s">
        <v>1071</v>
      </c>
      <c r="F316" s="11" t="s">
        <v>1335</v>
      </c>
      <c r="G316" s="11" t="s">
        <v>1334</v>
      </c>
      <c r="H316" s="11" t="s">
        <v>999</v>
      </c>
      <c r="I316" s="12" t="s">
        <v>1336</v>
      </c>
      <c r="J316" s="25">
        <v>43767</v>
      </c>
      <c r="K316" s="25">
        <v>45167</v>
      </c>
      <c r="L316" s="26">
        <f>R316/AD316*100</f>
        <v>84.185745988543189</v>
      </c>
      <c r="M316" s="11">
        <v>4</v>
      </c>
      <c r="N316" s="11" t="s">
        <v>268</v>
      </c>
      <c r="O316" s="11" t="s">
        <v>269</v>
      </c>
      <c r="P316" s="27" t="s">
        <v>174</v>
      </c>
      <c r="Q316" s="11" t="s">
        <v>34</v>
      </c>
      <c r="R316" s="1">
        <f>S316+T316</f>
        <v>2817971.65</v>
      </c>
      <c r="S316" s="2">
        <v>2817971.65</v>
      </c>
      <c r="T316" s="2">
        <v>0</v>
      </c>
      <c r="U316" s="1">
        <f>V316+W316</f>
        <v>462408.16</v>
      </c>
      <c r="V316" s="42">
        <v>462408.16</v>
      </c>
      <c r="W316" s="28">
        <v>0</v>
      </c>
      <c r="X316" s="1">
        <f>Y316+Z316</f>
        <v>34880.949999999997</v>
      </c>
      <c r="Y316" s="30">
        <v>34880.949999999997</v>
      </c>
      <c r="Z316" s="2">
        <v>0</v>
      </c>
      <c r="AA316" s="2">
        <f>AB316+AC316</f>
        <v>32065.58</v>
      </c>
      <c r="AB316" s="2">
        <v>32065.58</v>
      </c>
      <c r="AC316" s="2">
        <v>0</v>
      </c>
      <c r="AD316" s="16">
        <f t="shared" si="126"/>
        <v>3347326.3400000003</v>
      </c>
      <c r="AE316" s="2">
        <v>0</v>
      </c>
      <c r="AF316" s="2">
        <f>AD316+AE316</f>
        <v>3347326.3400000003</v>
      </c>
      <c r="AG316" s="38" t="s">
        <v>486</v>
      </c>
      <c r="AH316" s="29" t="s">
        <v>2142</v>
      </c>
      <c r="AI316" s="30">
        <f>199177.47-24965.12+119966.25-12010.44-4586.99+140649.56-21568.21+332867.63+143788.11+105707.7-21485.85+372873.86-14274.54+55163.66-6221.16+18044.67-1480.14+71183.75-10140.18</f>
        <v>1442690.0299999998</v>
      </c>
      <c r="AJ316" s="30">
        <f>2899.87+24965.12+12010.44+4586.99+21568.21+58741.35+18654.3+21485.85+47582.63+14274.54+6221.16+3453.58+1480.14+11260.34+1233.92</f>
        <v>250418.44000000003</v>
      </c>
    </row>
    <row r="317" spans="1:36" ht="189" x14ac:dyDescent="0.25">
      <c r="A317" s="6">
        <v>314</v>
      </c>
      <c r="B317" s="31">
        <v>120801</v>
      </c>
      <c r="C317" s="11">
        <v>87</v>
      </c>
      <c r="D317" s="9" t="s">
        <v>1638</v>
      </c>
      <c r="E317" s="24" t="s">
        <v>277</v>
      </c>
      <c r="F317" s="11" t="s">
        <v>251</v>
      </c>
      <c r="G317" s="11" t="s">
        <v>1282</v>
      </c>
      <c r="H317" s="11" t="s">
        <v>252</v>
      </c>
      <c r="I317" s="12" t="s">
        <v>253</v>
      </c>
      <c r="J317" s="25">
        <v>43166</v>
      </c>
      <c r="K317" s="25">
        <v>43653</v>
      </c>
      <c r="L317" s="26">
        <f t="shared" ref="L317:L328" si="152">R317/AD317*100</f>
        <v>84.168038598864953</v>
      </c>
      <c r="M317" s="11">
        <v>3</v>
      </c>
      <c r="N317" s="11" t="s">
        <v>254</v>
      </c>
      <c r="O317" s="11" t="s">
        <v>255</v>
      </c>
      <c r="P317" s="27" t="s">
        <v>174</v>
      </c>
      <c r="Q317" s="11" t="s">
        <v>34</v>
      </c>
      <c r="R317" s="1">
        <f t="shared" ref="R317:R328" si="153">S317+T317</f>
        <v>357481.33</v>
      </c>
      <c r="S317" s="2">
        <v>357481.33</v>
      </c>
      <c r="T317" s="2">
        <v>0</v>
      </c>
      <c r="U317" s="1">
        <f t="shared" ref="U317:U328" si="154">V317+W317</f>
        <v>58747.57</v>
      </c>
      <c r="V317" s="28">
        <v>58747.57</v>
      </c>
      <c r="W317" s="28">
        <v>0</v>
      </c>
      <c r="X317" s="1">
        <f t="shared" ref="X317:X328" si="155">Y317+Z317</f>
        <v>8494.4699999999993</v>
      </c>
      <c r="Y317" s="2">
        <v>8494.4699999999993</v>
      </c>
      <c r="Z317" s="2">
        <v>0</v>
      </c>
      <c r="AA317" s="2">
        <f t="shared" ref="AA317:AA328" si="156">AB317+AC317</f>
        <v>0</v>
      </c>
      <c r="AB317" s="2">
        <v>0</v>
      </c>
      <c r="AC317" s="2">
        <v>0</v>
      </c>
      <c r="AD317" s="16">
        <f t="shared" si="126"/>
        <v>424723.37</v>
      </c>
      <c r="AE317" s="2">
        <v>0</v>
      </c>
      <c r="AF317" s="2">
        <f t="shared" ref="AF317:AF328" si="157">AD317+AE317</f>
        <v>424723.37</v>
      </c>
      <c r="AG317" s="21" t="s">
        <v>857</v>
      </c>
      <c r="AH317" s="29" t="s">
        <v>151</v>
      </c>
      <c r="AI317" s="30">
        <v>301291.38999999996</v>
      </c>
      <c r="AJ317" s="30">
        <v>49583.64</v>
      </c>
    </row>
    <row r="318" spans="1:36" ht="189" x14ac:dyDescent="0.25">
      <c r="A318" s="6">
        <v>315</v>
      </c>
      <c r="B318" s="31">
        <v>119511</v>
      </c>
      <c r="C318" s="11">
        <v>464</v>
      </c>
      <c r="D318" s="9" t="s">
        <v>1638</v>
      </c>
      <c r="E318" s="11" t="s">
        <v>457</v>
      </c>
      <c r="F318" s="11" t="s">
        <v>458</v>
      </c>
      <c r="G318" s="11" t="s">
        <v>459</v>
      </c>
      <c r="H318" s="8" t="s">
        <v>151</v>
      </c>
      <c r="I318" s="32" t="s">
        <v>2771</v>
      </c>
      <c r="J318" s="25">
        <v>43257</v>
      </c>
      <c r="K318" s="25">
        <v>43744</v>
      </c>
      <c r="L318" s="26">
        <f t="shared" si="152"/>
        <v>85.000000259943448</v>
      </c>
      <c r="M318" s="40">
        <v>3</v>
      </c>
      <c r="N318" s="11" t="s">
        <v>363</v>
      </c>
      <c r="O318" s="11" t="s">
        <v>255</v>
      </c>
      <c r="P318" s="11" t="s">
        <v>174</v>
      </c>
      <c r="Q318" s="11" t="s">
        <v>460</v>
      </c>
      <c r="R318" s="1">
        <f t="shared" si="153"/>
        <v>490491.32</v>
      </c>
      <c r="S318" s="2">
        <v>490491.32</v>
      </c>
      <c r="T318" s="2">
        <v>0</v>
      </c>
      <c r="U318" s="1">
        <f t="shared" si="154"/>
        <v>75016.320000000007</v>
      </c>
      <c r="V318" s="28">
        <v>75016.320000000007</v>
      </c>
      <c r="W318" s="28">
        <v>0</v>
      </c>
      <c r="X318" s="1">
        <f t="shared" si="155"/>
        <v>11540.97</v>
      </c>
      <c r="Y318" s="30">
        <v>11540.97</v>
      </c>
      <c r="Z318" s="30">
        <v>0</v>
      </c>
      <c r="AA318" s="2">
        <f t="shared" si="156"/>
        <v>0</v>
      </c>
      <c r="AB318" s="2">
        <v>0</v>
      </c>
      <c r="AC318" s="2">
        <v>0</v>
      </c>
      <c r="AD318" s="16">
        <f t="shared" si="126"/>
        <v>577048.61</v>
      </c>
      <c r="AE318" s="38">
        <v>0</v>
      </c>
      <c r="AF318" s="2">
        <f t="shared" si="157"/>
        <v>577048.61</v>
      </c>
      <c r="AG318" s="21" t="s">
        <v>857</v>
      </c>
      <c r="AH318" s="38" t="s">
        <v>996</v>
      </c>
      <c r="AI318" s="30">
        <v>469162.02000000008</v>
      </c>
      <c r="AJ318" s="30">
        <v>71754.200000000012</v>
      </c>
    </row>
    <row r="319" spans="1:36" ht="189" x14ac:dyDescent="0.25">
      <c r="A319" s="6">
        <v>316</v>
      </c>
      <c r="B319" s="31">
        <v>118799</v>
      </c>
      <c r="C319" s="11">
        <v>447</v>
      </c>
      <c r="D319" s="32" t="s">
        <v>1639</v>
      </c>
      <c r="E319" s="32" t="s">
        <v>507</v>
      </c>
      <c r="F319" s="11" t="s">
        <v>896</v>
      </c>
      <c r="G319" s="11" t="s">
        <v>1282</v>
      </c>
      <c r="H319" s="11" t="s">
        <v>897</v>
      </c>
      <c r="I319" s="32" t="s">
        <v>898</v>
      </c>
      <c r="J319" s="25">
        <v>43425</v>
      </c>
      <c r="K319" s="25">
        <v>43911</v>
      </c>
      <c r="L319" s="26">
        <f t="shared" si="152"/>
        <v>84.156466663338946</v>
      </c>
      <c r="M319" s="11">
        <v>3</v>
      </c>
      <c r="N319" s="11" t="s">
        <v>254</v>
      </c>
      <c r="O319" s="11" t="s">
        <v>255</v>
      </c>
      <c r="P319" s="27" t="s">
        <v>174</v>
      </c>
      <c r="Q319" s="11" t="s">
        <v>34</v>
      </c>
      <c r="R319" s="1">
        <f t="shared" si="153"/>
        <v>242273.6</v>
      </c>
      <c r="S319" s="2">
        <v>242273.6</v>
      </c>
      <c r="T319" s="2">
        <v>0</v>
      </c>
      <c r="U319" s="1">
        <f t="shared" si="154"/>
        <v>39853.410000000003</v>
      </c>
      <c r="V319" s="28">
        <v>39853.410000000003</v>
      </c>
      <c r="W319" s="28">
        <v>0</v>
      </c>
      <c r="X319" s="1">
        <f t="shared" si="155"/>
        <v>2900.76</v>
      </c>
      <c r="Y319" s="30">
        <v>2900.76</v>
      </c>
      <c r="Z319" s="30">
        <v>0</v>
      </c>
      <c r="AA319" s="2">
        <f t="shared" si="156"/>
        <v>2856.94</v>
      </c>
      <c r="AB319" s="2">
        <v>2856.94</v>
      </c>
      <c r="AC319" s="2">
        <v>0</v>
      </c>
      <c r="AD319" s="16">
        <f t="shared" si="126"/>
        <v>287884.71000000002</v>
      </c>
      <c r="AE319" s="38">
        <v>0</v>
      </c>
      <c r="AF319" s="2">
        <f t="shared" si="157"/>
        <v>287884.71000000002</v>
      </c>
      <c r="AG319" s="38" t="s">
        <v>857</v>
      </c>
      <c r="AH319" s="38" t="s">
        <v>1213</v>
      </c>
      <c r="AI319" s="30">
        <v>230490.21</v>
      </c>
      <c r="AJ319" s="30">
        <v>38021.11</v>
      </c>
    </row>
    <row r="320" spans="1:36" ht="255" customHeight="1" x14ac:dyDescent="0.25">
      <c r="A320" s="6">
        <v>317</v>
      </c>
      <c r="B320" s="31">
        <v>126115</v>
      </c>
      <c r="C320" s="11">
        <v>542</v>
      </c>
      <c r="D320" s="9" t="s">
        <v>1638</v>
      </c>
      <c r="E320" s="32" t="s">
        <v>899</v>
      </c>
      <c r="F320" s="11" t="s">
        <v>1040</v>
      </c>
      <c r="G320" s="11" t="s">
        <v>459</v>
      </c>
      <c r="H320" s="8" t="s">
        <v>151</v>
      </c>
      <c r="I320" s="33" t="s">
        <v>2772</v>
      </c>
      <c r="J320" s="25">
        <v>43564</v>
      </c>
      <c r="K320" s="25">
        <v>44295</v>
      </c>
      <c r="L320" s="26">
        <f t="shared" si="152"/>
        <v>85.000000984188233</v>
      </c>
      <c r="M320" s="11">
        <v>3</v>
      </c>
      <c r="N320" s="11" t="s">
        <v>254</v>
      </c>
      <c r="O320" s="11" t="s">
        <v>459</v>
      </c>
      <c r="P320" s="27" t="s">
        <v>174</v>
      </c>
      <c r="Q320" s="11" t="s">
        <v>34</v>
      </c>
      <c r="R320" s="1">
        <f t="shared" si="153"/>
        <v>431827.97</v>
      </c>
      <c r="S320" s="2">
        <v>431827.97</v>
      </c>
      <c r="T320" s="2">
        <v>0</v>
      </c>
      <c r="U320" s="1">
        <f t="shared" si="154"/>
        <v>66044.27</v>
      </c>
      <c r="V320" s="28">
        <v>66044.27</v>
      </c>
      <c r="W320" s="28">
        <v>0</v>
      </c>
      <c r="X320" s="1">
        <f t="shared" si="155"/>
        <v>10160.66</v>
      </c>
      <c r="Y320" s="30">
        <v>10160.66</v>
      </c>
      <c r="Z320" s="30">
        <v>0</v>
      </c>
      <c r="AA320" s="2">
        <f t="shared" si="156"/>
        <v>0</v>
      </c>
      <c r="AB320" s="117">
        <v>0</v>
      </c>
      <c r="AC320" s="117">
        <v>0</v>
      </c>
      <c r="AD320" s="16">
        <f t="shared" si="126"/>
        <v>508032.89999999997</v>
      </c>
      <c r="AE320" s="30">
        <v>0</v>
      </c>
      <c r="AF320" s="2">
        <f t="shared" si="157"/>
        <v>508032.89999999997</v>
      </c>
      <c r="AG320" s="38" t="s">
        <v>857</v>
      </c>
      <c r="AH320" s="38" t="s">
        <v>1725</v>
      </c>
      <c r="AI320" s="30">
        <f>126250.71+35445.43+90788.91+110245+22529.93</f>
        <v>385259.98000000004</v>
      </c>
      <c r="AJ320" s="30">
        <f>19308.93+5421.06+13885.38+16861+3445.77</f>
        <v>58922.14</v>
      </c>
    </row>
    <row r="321" spans="1:36" ht="141.75" x14ac:dyDescent="0.25">
      <c r="A321" s="6">
        <v>318</v>
      </c>
      <c r="B321" s="31">
        <v>129261</v>
      </c>
      <c r="C321" s="11">
        <v>648</v>
      </c>
      <c r="D321" s="9" t="s">
        <v>1638</v>
      </c>
      <c r="E321" s="32" t="s">
        <v>1071</v>
      </c>
      <c r="F321" s="31" t="s">
        <v>1125</v>
      </c>
      <c r="G321" s="11" t="s">
        <v>1657</v>
      </c>
      <c r="H321" s="8" t="s">
        <v>151</v>
      </c>
      <c r="I321" s="32" t="s">
        <v>2773</v>
      </c>
      <c r="J321" s="25">
        <v>43643</v>
      </c>
      <c r="K321" s="25">
        <v>44192</v>
      </c>
      <c r="L321" s="26">
        <f t="shared" si="152"/>
        <v>84.999999897463027</v>
      </c>
      <c r="M321" s="11">
        <v>3</v>
      </c>
      <c r="N321" s="11" t="s">
        <v>254</v>
      </c>
      <c r="O321" s="11" t="s">
        <v>459</v>
      </c>
      <c r="P321" s="27" t="s">
        <v>174</v>
      </c>
      <c r="Q321" s="11" t="s">
        <v>34</v>
      </c>
      <c r="R321" s="1">
        <f t="shared" si="153"/>
        <v>2486907.71</v>
      </c>
      <c r="S321" s="2">
        <v>2486907.71</v>
      </c>
      <c r="T321" s="2">
        <v>0</v>
      </c>
      <c r="U321" s="1">
        <f t="shared" si="154"/>
        <v>380350.59</v>
      </c>
      <c r="V321" s="28">
        <v>380350.59</v>
      </c>
      <c r="W321" s="28">
        <v>0</v>
      </c>
      <c r="X321" s="1">
        <f t="shared" si="155"/>
        <v>58515.48</v>
      </c>
      <c r="Y321" s="30">
        <v>58515.48</v>
      </c>
      <c r="Z321" s="30">
        <v>0</v>
      </c>
      <c r="AA321" s="2">
        <f t="shared" si="156"/>
        <v>0</v>
      </c>
      <c r="AB321" s="117">
        <v>0</v>
      </c>
      <c r="AC321" s="117">
        <v>0</v>
      </c>
      <c r="AD321" s="16">
        <f t="shared" si="126"/>
        <v>2925773.78</v>
      </c>
      <c r="AE321" s="30">
        <v>0</v>
      </c>
      <c r="AF321" s="2">
        <f t="shared" si="157"/>
        <v>2925773.78</v>
      </c>
      <c r="AG321" s="38" t="s">
        <v>857</v>
      </c>
      <c r="AH321" s="35"/>
      <c r="AI321" s="30">
        <f>189771.86+645544.81+801375.41+295276.91+481390.7</f>
        <v>2413359.69</v>
      </c>
      <c r="AJ321" s="30">
        <f>29023.93+98730.39+122563.3+45160+73624.45</f>
        <v>369102.07</v>
      </c>
    </row>
    <row r="322" spans="1:36" ht="204.75" x14ac:dyDescent="0.25">
      <c r="A322" s="6">
        <v>319</v>
      </c>
      <c r="B322" s="31">
        <v>129205</v>
      </c>
      <c r="C322" s="11">
        <v>684</v>
      </c>
      <c r="D322" s="9" t="s">
        <v>1638</v>
      </c>
      <c r="E322" s="32" t="s">
        <v>1071</v>
      </c>
      <c r="F322" s="31" t="s">
        <v>1141</v>
      </c>
      <c r="G322" s="11" t="s">
        <v>459</v>
      </c>
      <c r="H322" s="8" t="s">
        <v>151</v>
      </c>
      <c r="I322" s="32" t="s">
        <v>1142</v>
      </c>
      <c r="J322" s="25">
        <v>43654</v>
      </c>
      <c r="K322" s="25">
        <v>44628</v>
      </c>
      <c r="L322" s="26">
        <f t="shared" si="152"/>
        <v>84.99999990778575</v>
      </c>
      <c r="M322" s="11">
        <v>3</v>
      </c>
      <c r="N322" s="11" t="s">
        <v>254</v>
      </c>
      <c r="O322" s="11" t="s">
        <v>459</v>
      </c>
      <c r="P322" s="27" t="s">
        <v>174</v>
      </c>
      <c r="Q322" s="11" t="s">
        <v>34</v>
      </c>
      <c r="R322" s="1">
        <f t="shared" si="153"/>
        <v>2304415.83</v>
      </c>
      <c r="S322" s="2">
        <v>2304415.83</v>
      </c>
      <c r="T322" s="2">
        <v>0</v>
      </c>
      <c r="U322" s="1">
        <f t="shared" si="154"/>
        <v>352440.07</v>
      </c>
      <c r="V322" s="28">
        <v>352440.07</v>
      </c>
      <c r="W322" s="28">
        <v>0</v>
      </c>
      <c r="X322" s="1">
        <f t="shared" si="155"/>
        <v>54221.55</v>
      </c>
      <c r="Y322" s="30">
        <v>54221.55</v>
      </c>
      <c r="Z322" s="30">
        <v>0</v>
      </c>
      <c r="AA322" s="2">
        <f t="shared" si="156"/>
        <v>0</v>
      </c>
      <c r="AB322" s="117">
        <v>0</v>
      </c>
      <c r="AC322" s="117">
        <v>0</v>
      </c>
      <c r="AD322" s="16">
        <f t="shared" si="126"/>
        <v>2711077.4499999997</v>
      </c>
      <c r="AE322" s="30"/>
      <c r="AF322" s="2">
        <f t="shared" si="157"/>
        <v>2711077.4499999997</v>
      </c>
      <c r="AG322" s="38" t="s">
        <v>857</v>
      </c>
      <c r="AH322" s="38" t="s">
        <v>1956</v>
      </c>
      <c r="AI322" s="30">
        <f>111097.45+8767.75+11449.87+143539.57+184093+3646.86+13693.95+637214.83+855981.88+172508.71</f>
        <v>2141993.87</v>
      </c>
      <c r="AJ322" s="30">
        <f>16991.35+1340.95+1751.15+21953.11+28155.4+557.75+2094.37+97456.38+130914.87+26383.68</f>
        <v>327599.00999999995</v>
      </c>
    </row>
    <row r="323" spans="1:36" ht="270.75" customHeight="1" x14ac:dyDescent="0.25">
      <c r="A323" s="6">
        <v>320</v>
      </c>
      <c r="B323" s="31">
        <v>129737</v>
      </c>
      <c r="C323" s="11">
        <v>689</v>
      </c>
      <c r="D323" s="9" t="s">
        <v>1638</v>
      </c>
      <c r="E323" s="32" t="s">
        <v>1071</v>
      </c>
      <c r="F323" s="31" t="s">
        <v>1281</v>
      </c>
      <c r="G323" s="11" t="s">
        <v>1282</v>
      </c>
      <c r="H323" s="8" t="s">
        <v>151</v>
      </c>
      <c r="I323" s="32" t="s">
        <v>2774</v>
      </c>
      <c r="J323" s="25">
        <v>43725</v>
      </c>
      <c r="K323" s="25">
        <v>45094</v>
      </c>
      <c r="L323" s="26">
        <f t="shared" si="152"/>
        <v>85.000000163665106</v>
      </c>
      <c r="M323" s="11">
        <v>3</v>
      </c>
      <c r="N323" s="11" t="s">
        <v>254</v>
      </c>
      <c r="O323" s="11" t="s">
        <v>459</v>
      </c>
      <c r="P323" s="27" t="s">
        <v>174</v>
      </c>
      <c r="Q323" s="11" t="s">
        <v>34</v>
      </c>
      <c r="R323" s="1">
        <f t="shared" si="153"/>
        <v>3116119.5900000003</v>
      </c>
      <c r="S323" s="2">
        <v>3116119.5900000003</v>
      </c>
      <c r="T323" s="2">
        <v>0</v>
      </c>
      <c r="U323" s="1">
        <f t="shared" si="154"/>
        <v>476582.99</v>
      </c>
      <c r="V323" s="28">
        <v>476582.99</v>
      </c>
      <c r="W323" s="28">
        <v>0</v>
      </c>
      <c r="X323" s="1">
        <f t="shared" si="155"/>
        <v>73320.460000000006</v>
      </c>
      <c r="Y323" s="30">
        <v>73320.460000000006</v>
      </c>
      <c r="Z323" s="30">
        <v>0</v>
      </c>
      <c r="AA323" s="2">
        <f t="shared" si="156"/>
        <v>0</v>
      </c>
      <c r="AB323" s="117">
        <v>0</v>
      </c>
      <c r="AC323" s="117">
        <v>0</v>
      </c>
      <c r="AD323" s="16">
        <f t="shared" si="126"/>
        <v>3666023.04</v>
      </c>
      <c r="AE323" s="30">
        <v>0</v>
      </c>
      <c r="AF323" s="2">
        <f t="shared" si="157"/>
        <v>3666023.04</v>
      </c>
      <c r="AG323" s="38" t="s">
        <v>486</v>
      </c>
      <c r="AH323" s="38" t="s">
        <v>1980</v>
      </c>
      <c r="AI323" s="118">
        <f>25211.85+27774.1+101734.8</f>
        <v>154720.75</v>
      </c>
      <c r="AJ323" s="118">
        <f>1956.11+1899.82+4247.8+15559.44</f>
        <v>23663.17</v>
      </c>
    </row>
    <row r="324" spans="1:36" ht="198" customHeight="1" x14ac:dyDescent="0.25">
      <c r="A324" s="6">
        <v>321</v>
      </c>
      <c r="B324" s="31">
        <v>136182</v>
      </c>
      <c r="C324" s="11">
        <v>814</v>
      </c>
      <c r="D324" s="9" t="s">
        <v>1638</v>
      </c>
      <c r="E324" s="24" t="s">
        <v>1441</v>
      </c>
      <c r="F324" s="31" t="s">
        <v>1484</v>
      </c>
      <c r="G324" s="11" t="s">
        <v>1282</v>
      </c>
      <c r="H324" s="8" t="s">
        <v>151</v>
      </c>
      <c r="I324" s="32" t="s">
        <v>2775</v>
      </c>
      <c r="J324" s="25">
        <v>43969</v>
      </c>
      <c r="K324" s="25">
        <v>45064</v>
      </c>
      <c r="L324" s="26">
        <f t="shared" si="152"/>
        <v>85</v>
      </c>
      <c r="M324" s="11">
        <v>3</v>
      </c>
      <c r="N324" s="11" t="s">
        <v>254</v>
      </c>
      <c r="O324" s="11" t="s">
        <v>255</v>
      </c>
      <c r="P324" s="27" t="s">
        <v>174</v>
      </c>
      <c r="Q324" s="11" t="s">
        <v>34</v>
      </c>
      <c r="R324" s="1">
        <f t="shared" si="153"/>
        <v>2620035.75</v>
      </c>
      <c r="S324" s="2">
        <v>2620035.75</v>
      </c>
      <c r="T324" s="2">
        <v>0</v>
      </c>
      <c r="U324" s="1">
        <f t="shared" si="154"/>
        <v>400711.35</v>
      </c>
      <c r="V324" s="28">
        <v>400711.35</v>
      </c>
      <c r="W324" s="28">
        <v>0</v>
      </c>
      <c r="X324" s="1">
        <f t="shared" si="155"/>
        <v>61647.9</v>
      </c>
      <c r="Y324" s="30">
        <v>61647.9</v>
      </c>
      <c r="Z324" s="30">
        <v>0</v>
      </c>
      <c r="AA324" s="2">
        <f t="shared" si="156"/>
        <v>0</v>
      </c>
      <c r="AB324" s="117">
        <v>0</v>
      </c>
      <c r="AC324" s="117">
        <v>0</v>
      </c>
      <c r="AD324" s="16">
        <f t="shared" si="126"/>
        <v>3082395</v>
      </c>
      <c r="AE324" s="30">
        <v>0</v>
      </c>
      <c r="AF324" s="2">
        <f t="shared" si="157"/>
        <v>3082395</v>
      </c>
      <c r="AG324" s="38" t="s">
        <v>486</v>
      </c>
      <c r="AH324" s="38" t="s">
        <v>2131</v>
      </c>
      <c r="AI324" s="118">
        <f>30823.95+292691.61-1849.35-33647.64+6327.62</f>
        <v>294346.19</v>
      </c>
      <c r="AJ324" s="118">
        <f>2336.33+1849.35+33647.64+7184.32</f>
        <v>45017.64</v>
      </c>
    </row>
    <row r="325" spans="1:36" ht="198" customHeight="1" x14ac:dyDescent="0.25">
      <c r="A325" s="6">
        <v>322</v>
      </c>
      <c r="B325" s="31">
        <v>152213</v>
      </c>
      <c r="C325" s="11">
        <v>1111</v>
      </c>
      <c r="D325" s="9" t="s">
        <v>1639</v>
      </c>
      <c r="E325" s="24" t="s">
        <v>1801</v>
      </c>
      <c r="F325" s="31" t="s">
        <v>1821</v>
      </c>
      <c r="G325" s="11" t="s">
        <v>1657</v>
      </c>
      <c r="H325" s="8" t="s">
        <v>151</v>
      </c>
      <c r="I325" s="32" t="s">
        <v>1822</v>
      </c>
      <c r="J325" s="25">
        <v>44481</v>
      </c>
      <c r="K325" s="25">
        <v>44907</v>
      </c>
      <c r="L325" s="26">
        <f t="shared" si="152"/>
        <v>85</v>
      </c>
      <c r="M325" s="11">
        <v>3</v>
      </c>
      <c r="N325" s="11" t="s">
        <v>254</v>
      </c>
      <c r="O325" s="11" t="s">
        <v>1823</v>
      </c>
      <c r="P325" s="27" t="s">
        <v>174</v>
      </c>
      <c r="Q325" s="11" t="s">
        <v>34</v>
      </c>
      <c r="R325" s="1">
        <f t="shared" si="153"/>
        <v>351884.7</v>
      </c>
      <c r="S325" s="2">
        <v>351884.7</v>
      </c>
      <c r="T325" s="2">
        <v>0</v>
      </c>
      <c r="U325" s="1">
        <f t="shared" si="154"/>
        <v>53817.66</v>
      </c>
      <c r="V325" s="28">
        <v>53817.66</v>
      </c>
      <c r="W325" s="28">
        <v>0</v>
      </c>
      <c r="X325" s="1">
        <f t="shared" si="155"/>
        <v>8279.64</v>
      </c>
      <c r="Y325" s="30">
        <v>8279.64</v>
      </c>
      <c r="Z325" s="30">
        <v>0</v>
      </c>
      <c r="AA325" s="2">
        <f t="shared" si="156"/>
        <v>0</v>
      </c>
      <c r="AB325" s="117">
        <v>0</v>
      </c>
      <c r="AC325" s="117">
        <v>0</v>
      </c>
      <c r="AD325" s="16">
        <f t="shared" ref="AD325:AD388" si="158">R325+U325+X325+AA325</f>
        <v>413982</v>
      </c>
      <c r="AE325" s="30">
        <v>0</v>
      </c>
      <c r="AF325" s="2">
        <f t="shared" si="157"/>
        <v>413982</v>
      </c>
      <c r="AG325" s="38" t="s">
        <v>486</v>
      </c>
      <c r="AH325" s="38"/>
      <c r="AI325" s="118">
        <f>6211.25+49512.41</f>
        <v>55723.66</v>
      </c>
      <c r="AJ325" s="118">
        <f>949.95+7572.49</f>
        <v>8522.44</v>
      </c>
    </row>
    <row r="326" spans="1:36" ht="198" customHeight="1" x14ac:dyDescent="0.25">
      <c r="A326" s="6">
        <v>323</v>
      </c>
      <c r="B326" s="31">
        <v>152058</v>
      </c>
      <c r="C326" s="11">
        <v>1099</v>
      </c>
      <c r="D326" s="9" t="s">
        <v>1639</v>
      </c>
      <c r="E326" s="24" t="s">
        <v>1801</v>
      </c>
      <c r="F326" s="31" t="s">
        <v>1829</v>
      </c>
      <c r="G326" s="11" t="s">
        <v>459</v>
      </c>
      <c r="H326" s="8" t="s">
        <v>151</v>
      </c>
      <c r="I326" s="32" t="s">
        <v>2776</v>
      </c>
      <c r="J326" s="25">
        <v>44487</v>
      </c>
      <c r="K326" s="25">
        <v>44791</v>
      </c>
      <c r="L326" s="26">
        <f t="shared" si="152"/>
        <v>85.000000000000014</v>
      </c>
      <c r="M326" s="11">
        <v>3</v>
      </c>
      <c r="N326" s="11" t="s">
        <v>254</v>
      </c>
      <c r="O326" s="11" t="s">
        <v>459</v>
      </c>
      <c r="P326" s="27" t="s">
        <v>174</v>
      </c>
      <c r="Q326" s="11" t="s">
        <v>34</v>
      </c>
      <c r="R326" s="1">
        <f t="shared" si="153"/>
        <v>286138.56</v>
      </c>
      <c r="S326" s="2">
        <v>286138.56</v>
      </c>
      <c r="T326" s="2">
        <v>0</v>
      </c>
      <c r="U326" s="1">
        <f t="shared" si="154"/>
        <v>43762.37</v>
      </c>
      <c r="V326" s="28">
        <v>43762.37</v>
      </c>
      <c r="W326" s="28">
        <v>0</v>
      </c>
      <c r="X326" s="1">
        <f t="shared" si="155"/>
        <v>6732.67</v>
      </c>
      <c r="Y326" s="30">
        <v>6732.67</v>
      </c>
      <c r="Z326" s="30">
        <v>0</v>
      </c>
      <c r="AA326" s="2">
        <f t="shared" si="156"/>
        <v>0</v>
      </c>
      <c r="AB326" s="117">
        <v>0</v>
      </c>
      <c r="AC326" s="117">
        <v>0</v>
      </c>
      <c r="AD326" s="16">
        <f t="shared" si="158"/>
        <v>336633.59999999998</v>
      </c>
      <c r="AE326" s="30">
        <v>0</v>
      </c>
      <c r="AF326" s="2">
        <f t="shared" si="157"/>
        <v>336633.59999999998</v>
      </c>
      <c r="AG326" s="38" t="s">
        <v>857</v>
      </c>
      <c r="AH326" s="38"/>
      <c r="AI326" s="118">
        <f>7153.11+730.97+6745.29+1011.79+184732.07</f>
        <v>200373.23</v>
      </c>
      <c r="AJ326" s="118">
        <f>1094.01+111.8+1031.63+154.74+28253.14</f>
        <v>30645.32</v>
      </c>
    </row>
    <row r="327" spans="1:36" ht="198" customHeight="1" x14ac:dyDescent="0.25">
      <c r="A327" s="6">
        <v>324</v>
      </c>
      <c r="B327" s="31">
        <v>154869</v>
      </c>
      <c r="C327" s="11">
        <v>1237</v>
      </c>
      <c r="D327" s="9" t="s">
        <v>1638</v>
      </c>
      <c r="E327" s="24" t="s">
        <v>2012</v>
      </c>
      <c r="F327" s="31" t="s">
        <v>2156</v>
      </c>
      <c r="G327" s="11" t="s">
        <v>459</v>
      </c>
      <c r="H327" s="8" t="s">
        <v>151</v>
      </c>
      <c r="I327" s="32" t="s">
        <v>2777</v>
      </c>
      <c r="J327" s="25">
        <v>44670</v>
      </c>
      <c r="K327" s="25">
        <v>45157</v>
      </c>
      <c r="L327" s="26">
        <f t="shared" si="152"/>
        <v>85</v>
      </c>
      <c r="M327" s="11">
        <v>3</v>
      </c>
      <c r="N327" s="11" t="s">
        <v>254</v>
      </c>
      <c r="O327" s="11" t="s">
        <v>459</v>
      </c>
      <c r="P327" s="27" t="s">
        <v>174</v>
      </c>
      <c r="Q327" s="11" t="s">
        <v>34</v>
      </c>
      <c r="R327" s="1">
        <f t="shared" si="153"/>
        <v>2546666.2999999998</v>
      </c>
      <c r="S327" s="2">
        <v>2546666.2999999998</v>
      </c>
      <c r="T327" s="2">
        <v>0</v>
      </c>
      <c r="U327" s="1">
        <f t="shared" si="154"/>
        <v>389490.14</v>
      </c>
      <c r="V327" s="28">
        <v>389490.14</v>
      </c>
      <c r="W327" s="28">
        <v>0</v>
      </c>
      <c r="X327" s="1">
        <f t="shared" si="155"/>
        <v>59921.56</v>
      </c>
      <c r="Y327" s="30">
        <v>59921.56</v>
      </c>
      <c r="Z327" s="30">
        <v>0</v>
      </c>
      <c r="AA327" s="2">
        <f t="shared" si="156"/>
        <v>0</v>
      </c>
      <c r="AB327" s="117">
        <v>0</v>
      </c>
      <c r="AC327" s="117">
        <v>0</v>
      </c>
      <c r="AD327" s="16">
        <f t="shared" si="158"/>
        <v>2996078</v>
      </c>
      <c r="AE327" s="30">
        <v>0</v>
      </c>
      <c r="AF327" s="2">
        <f t="shared" si="157"/>
        <v>2996078</v>
      </c>
      <c r="AG327" s="38" t="s">
        <v>486</v>
      </c>
      <c r="AH327" s="38"/>
      <c r="AI327" s="118">
        <v>0</v>
      </c>
      <c r="AJ327" s="118">
        <v>0</v>
      </c>
    </row>
    <row r="328" spans="1:36" ht="198" customHeight="1" x14ac:dyDescent="0.25">
      <c r="A328" s="6">
        <v>325</v>
      </c>
      <c r="B328" s="31">
        <v>155202</v>
      </c>
      <c r="C328" s="11">
        <v>1222</v>
      </c>
      <c r="D328" s="9" t="s">
        <v>1638</v>
      </c>
      <c r="E328" s="24" t="s">
        <v>2012</v>
      </c>
      <c r="F328" s="31" t="s">
        <v>2235</v>
      </c>
      <c r="G328" s="11" t="s">
        <v>2234</v>
      </c>
      <c r="H328" s="8" t="s">
        <v>151</v>
      </c>
      <c r="I328" s="32" t="s">
        <v>2778</v>
      </c>
      <c r="J328" s="25">
        <v>44712</v>
      </c>
      <c r="K328" s="25">
        <v>45199</v>
      </c>
      <c r="L328" s="26">
        <f t="shared" si="152"/>
        <v>85</v>
      </c>
      <c r="M328" s="11">
        <v>3</v>
      </c>
      <c r="N328" s="11" t="s">
        <v>254</v>
      </c>
      <c r="O328" s="11" t="s">
        <v>1823</v>
      </c>
      <c r="P328" s="27" t="s">
        <v>174</v>
      </c>
      <c r="Q328" s="11" t="s">
        <v>34</v>
      </c>
      <c r="R328" s="1">
        <f t="shared" si="153"/>
        <v>3412393</v>
      </c>
      <c r="S328" s="2">
        <v>3412393</v>
      </c>
      <c r="T328" s="2">
        <v>0</v>
      </c>
      <c r="U328" s="1">
        <f t="shared" si="154"/>
        <v>521895.4</v>
      </c>
      <c r="V328" s="28">
        <v>521895.4</v>
      </c>
      <c r="W328" s="28">
        <v>0</v>
      </c>
      <c r="X328" s="1">
        <f t="shared" si="155"/>
        <v>80291.600000000006</v>
      </c>
      <c r="Y328" s="30">
        <v>80291.600000000006</v>
      </c>
      <c r="Z328" s="30">
        <v>0</v>
      </c>
      <c r="AA328" s="2">
        <f t="shared" si="156"/>
        <v>0</v>
      </c>
      <c r="AB328" s="117">
        <v>0</v>
      </c>
      <c r="AC328" s="117">
        <v>0</v>
      </c>
      <c r="AD328" s="16">
        <f t="shared" si="158"/>
        <v>4014580</v>
      </c>
      <c r="AE328" s="30">
        <v>0</v>
      </c>
      <c r="AF328" s="2">
        <f t="shared" si="157"/>
        <v>4014580</v>
      </c>
      <c r="AG328" s="38" t="s">
        <v>486</v>
      </c>
      <c r="AH328" s="38"/>
      <c r="AI328" s="118">
        <v>0</v>
      </c>
      <c r="AJ328" s="118">
        <v>0</v>
      </c>
    </row>
    <row r="329" spans="1:36" ht="141.75" x14ac:dyDescent="0.25">
      <c r="A329" s="6">
        <v>326</v>
      </c>
      <c r="B329" s="31">
        <v>118062</v>
      </c>
      <c r="C329" s="11">
        <v>421</v>
      </c>
      <c r="D329" s="32" t="s">
        <v>1639</v>
      </c>
      <c r="E329" s="24" t="s">
        <v>507</v>
      </c>
      <c r="F329" s="27" t="s">
        <v>890</v>
      </c>
      <c r="G329" s="119" t="s">
        <v>891</v>
      </c>
      <c r="H329" s="8" t="s">
        <v>151</v>
      </c>
      <c r="I329" s="32" t="s">
        <v>2779</v>
      </c>
      <c r="J329" s="25">
        <v>43412</v>
      </c>
      <c r="K329" s="25">
        <v>43898</v>
      </c>
      <c r="L329" s="26">
        <f t="shared" ref="L329:L336" si="159">R329/AD329*100</f>
        <v>85.000007860659679</v>
      </c>
      <c r="M329" s="40">
        <v>6</v>
      </c>
      <c r="N329" s="11" t="s">
        <v>298</v>
      </c>
      <c r="O329" s="11" t="s">
        <v>295</v>
      </c>
      <c r="P329" s="27" t="s">
        <v>174</v>
      </c>
      <c r="Q329" s="27" t="s">
        <v>34</v>
      </c>
      <c r="R329" s="1">
        <f t="shared" ref="R329:R336" si="160">S329+T329</f>
        <v>308180.27</v>
      </c>
      <c r="S329" s="36">
        <v>308180.27</v>
      </c>
      <c r="T329" s="36">
        <v>0</v>
      </c>
      <c r="U329" s="1">
        <f t="shared" ref="U329:U336" si="161">V329+W329</f>
        <v>47133.4</v>
      </c>
      <c r="V329" s="55">
        <v>47133.4</v>
      </c>
      <c r="W329" s="55">
        <v>0</v>
      </c>
      <c r="X329" s="51">
        <f t="shared" ref="X329:X336" si="162">Y329+Z329</f>
        <v>7251.32</v>
      </c>
      <c r="Y329" s="51">
        <v>7251.32</v>
      </c>
      <c r="Z329" s="51">
        <v>0</v>
      </c>
      <c r="AA329" s="2">
        <f t="shared" ref="AA329:AA336" si="163">AB329+AC329</f>
        <v>0</v>
      </c>
      <c r="AB329" s="117">
        <v>0</v>
      </c>
      <c r="AC329" s="117">
        <v>0</v>
      </c>
      <c r="AD329" s="16">
        <f t="shared" si="158"/>
        <v>362564.99000000005</v>
      </c>
      <c r="AE329" s="117">
        <v>0</v>
      </c>
      <c r="AF329" s="2">
        <f t="shared" ref="AF329:AF336" si="164">AD329+AE329</f>
        <v>362564.99000000005</v>
      </c>
      <c r="AG329" s="38" t="s">
        <v>857</v>
      </c>
      <c r="AH329" s="38" t="s">
        <v>1377</v>
      </c>
      <c r="AI329" s="118">
        <v>249239.43</v>
      </c>
      <c r="AJ329" s="30">
        <v>38118.980000000003</v>
      </c>
    </row>
    <row r="330" spans="1:36" ht="151.5" customHeight="1" x14ac:dyDescent="0.25">
      <c r="A330" s="6">
        <v>327</v>
      </c>
      <c r="B330" s="11">
        <v>126302</v>
      </c>
      <c r="C330" s="11">
        <v>521</v>
      </c>
      <c r="D330" s="9" t="s">
        <v>1638</v>
      </c>
      <c r="E330" s="32" t="s">
        <v>899</v>
      </c>
      <c r="F330" s="27" t="s">
        <v>932</v>
      </c>
      <c r="G330" s="27" t="s">
        <v>293</v>
      </c>
      <c r="H330" s="8" t="s">
        <v>151</v>
      </c>
      <c r="I330" s="12" t="s">
        <v>933</v>
      </c>
      <c r="J330" s="25">
        <v>43447</v>
      </c>
      <c r="K330" s="25">
        <v>44482</v>
      </c>
      <c r="L330" s="26">
        <f t="shared" si="159"/>
        <v>85.000000283587156</v>
      </c>
      <c r="M330" s="11">
        <v>6</v>
      </c>
      <c r="N330" s="11" t="s">
        <v>298</v>
      </c>
      <c r="O330" s="11" t="s">
        <v>295</v>
      </c>
      <c r="P330" s="27" t="s">
        <v>174</v>
      </c>
      <c r="Q330" s="11" t="s">
        <v>34</v>
      </c>
      <c r="R330" s="1">
        <f t="shared" si="160"/>
        <v>2697583.52</v>
      </c>
      <c r="S330" s="2">
        <v>2697583.52</v>
      </c>
      <c r="T330" s="2">
        <v>0</v>
      </c>
      <c r="U330" s="1">
        <f t="shared" si="161"/>
        <v>412571.59</v>
      </c>
      <c r="V330" s="28">
        <v>412571.59</v>
      </c>
      <c r="W330" s="28">
        <v>0</v>
      </c>
      <c r="X330" s="1">
        <f t="shared" si="162"/>
        <v>63472.55</v>
      </c>
      <c r="Y330" s="2">
        <v>63472.55</v>
      </c>
      <c r="Z330" s="30">
        <v>0</v>
      </c>
      <c r="AA330" s="2">
        <f t="shared" si="163"/>
        <v>0</v>
      </c>
      <c r="AB330" s="2">
        <v>0</v>
      </c>
      <c r="AC330" s="2">
        <v>0</v>
      </c>
      <c r="AD330" s="16">
        <f t="shared" si="158"/>
        <v>3173627.6599999997</v>
      </c>
      <c r="AE330" s="2">
        <v>44744</v>
      </c>
      <c r="AF330" s="2">
        <f t="shared" si="164"/>
        <v>3218371.6599999997</v>
      </c>
      <c r="AG330" s="38" t="s">
        <v>857</v>
      </c>
      <c r="AH330" s="38" t="s">
        <v>1790</v>
      </c>
      <c r="AI330" s="118">
        <f>868935.85+202154.6-31899.66+240474.34+180513.89+317362.76-32301.2+480099.09+167721.85-8613.8-8272.59+658</f>
        <v>2376833.1300000004</v>
      </c>
      <c r="AJ330" s="30">
        <f>84361.34+30914.65+31899.66+27608+11296.45+32301.2+73426.92+50675.08+8613.8+8272.59+4145.96</f>
        <v>363515.65000000008</v>
      </c>
    </row>
    <row r="331" spans="1:36" ht="362.25" x14ac:dyDescent="0.25">
      <c r="A331" s="6">
        <v>328</v>
      </c>
      <c r="B331" s="31">
        <v>126243</v>
      </c>
      <c r="C331" s="11">
        <v>549</v>
      </c>
      <c r="D331" s="9" t="s">
        <v>1638</v>
      </c>
      <c r="E331" s="11" t="s">
        <v>899</v>
      </c>
      <c r="F331" s="27" t="s">
        <v>1033</v>
      </c>
      <c r="G331" s="27" t="s">
        <v>891</v>
      </c>
      <c r="H331" s="8" t="s">
        <v>151</v>
      </c>
      <c r="I331" s="24" t="s">
        <v>2780</v>
      </c>
      <c r="J331" s="25">
        <v>43556</v>
      </c>
      <c r="K331" s="25">
        <v>44409</v>
      </c>
      <c r="L331" s="26">
        <f t="shared" si="159"/>
        <v>84.9999995883324</v>
      </c>
      <c r="M331" s="40">
        <v>6</v>
      </c>
      <c r="N331" s="11" t="s">
        <v>298</v>
      </c>
      <c r="O331" s="11" t="s">
        <v>298</v>
      </c>
      <c r="P331" s="11" t="s">
        <v>174</v>
      </c>
      <c r="Q331" s="11" t="s">
        <v>34</v>
      </c>
      <c r="R331" s="1">
        <f t="shared" si="160"/>
        <v>2477727.14</v>
      </c>
      <c r="S331" s="2">
        <v>2477727.14</v>
      </c>
      <c r="T331" s="2">
        <v>0</v>
      </c>
      <c r="U331" s="1">
        <f t="shared" si="161"/>
        <v>378946.5</v>
      </c>
      <c r="V331" s="28">
        <v>378946.5</v>
      </c>
      <c r="W331" s="28">
        <v>0</v>
      </c>
      <c r="X331" s="1">
        <f t="shared" si="162"/>
        <v>58299.48</v>
      </c>
      <c r="Y331" s="2">
        <v>58299.48</v>
      </c>
      <c r="Z331" s="2">
        <v>0</v>
      </c>
      <c r="AA331" s="2">
        <f t="shared" si="163"/>
        <v>0</v>
      </c>
      <c r="AB331" s="2">
        <v>0</v>
      </c>
      <c r="AC331" s="2">
        <v>0</v>
      </c>
      <c r="AD331" s="16">
        <f t="shared" si="158"/>
        <v>2914973.12</v>
      </c>
      <c r="AE331" s="2">
        <v>16660</v>
      </c>
      <c r="AF331" s="2">
        <f t="shared" si="164"/>
        <v>2931633.12</v>
      </c>
      <c r="AG331" s="38" t="s">
        <v>857</v>
      </c>
      <c r="AH331" s="38" t="s">
        <v>1758</v>
      </c>
      <c r="AI331" s="30">
        <f>138790.64+56881.15+18677.05+445571.52+116963.42+876227.92+172996.19+277947.65+139032.08</f>
        <v>2243087.62</v>
      </c>
      <c r="AJ331" s="30">
        <f>21226.8+8699.47+2856.49+68146.24+17888.52+134011.33+26458.23+42509.65+21263.73</f>
        <v>343060.45999999996</v>
      </c>
    </row>
    <row r="332" spans="1:36" ht="236.25" x14ac:dyDescent="0.25">
      <c r="A332" s="6">
        <v>329</v>
      </c>
      <c r="B332" s="31">
        <v>119429</v>
      </c>
      <c r="C332" s="31">
        <v>472</v>
      </c>
      <c r="D332" s="9" t="s">
        <v>1638</v>
      </c>
      <c r="E332" s="24" t="s">
        <v>457</v>
      </c>
      <c r="F332" s="11" t="s">
        <v>671</v>
      </c>
      <c r="G332" s="27" t="s">
        <v>891</v>
      </c>
      <c r="H332" s="8" t="s">
        <v>151</v>
      </c>
      <c r="I332" s="120" t="s">
        <v>2781</v>
      </c>
      <c r="J332" s="25">
        <v>43304</v>
      </c>
      <c r="K332" s="25">
        <v>43669</v>
      </c>
      <c r="L332" s="26">
        <f t="shared" si="159"/>
        <v>85.000001381242228</v>
      </c>
      <c r="M332" s="11">
        <v>6</v>
      </c>
      <c r="N332" s="11" t="s">
        <v>298</v>
      </c>
      <c r="O332" s="11" t="s">
        <v>295</v>
      </c>
      <c r="P332" s="27" t="s">
        <v>174</v>
      </c>
      <c r="Q332" s="11" t="s">
        <v>460</v>
      </c>
      <c r="R332" s="2">
        <f t="shared" si="160"/>
        <v>215385.83</v>
      </c>
      <c r="S332" s="2">
        <v>215385.83</v>
      </c>
      <c r="T332" s="2">
        <v>0</v>
      </c>
      <c r="U332" s="2">
        <f t="shared" si="161"/>
        <v>32941.35</v>
      </c>
      <c r="V332" s="28">
        <v>32941.35</v>
      </c>
      <c r="W332" s="28">
        <v>0</v>
      </c>
      <c r="X332" s="2">
        <f t="shared" si="162"/>
        <v>5067.91</v>
      </c>
      <c r="Y332" s="2">
        <v>5067.91</v>
      </c>
      <c r="Z332" s="2">
        <v>0</v>
      </c>
      <c r="AA332" s="2">
        <f t="shared" si="163"/>
        <v>0</v>
      </c>
      <c r="AB332" s="2">
        <v>0</v>
      </c>
      <c r="AC332" s="2">
        <v>0</v>
      </c>
      <c r="AD332" s="16">
        <f t="shared" si="158"/>
        <v>253395.09</v>
      </c>
      <c r="AE332" s="2"/>
      <c r="AF332" s="2">
        <f t="shared" si="164"/>
        <v>253395.09</v>
      </c>
      <c r="AG332" s="21" t="s">
        <v>857</v>
      </c>
      <c r="AH332" s="29"/>
      <c r="AI332" s="30">
        <v>158423.03</v>
      </c>
      <c r="AJ332" s="30">
        <v>24229.39</v>
      </c>
    </row>
    <row r="333" spans="1:36" ht="173.25" x14ac:dyDescent="0.25">
      <c r="A333" s="6">
        <v>330</v>
      </c>
      <c r="B333" s="31">
        <v>121622</v>
      </c>
      <c r="C333" s="11">
        <v>99</v>
      </c>
      <c r="D333" s="9" t="s">
        <v>1638</v>
      </c>
      <c r="E333" s="24" t="s">
        <v>277</v>
      </c>
      <c r="F333" s="11" t="s">
        <v>292</v>
      </c>
      <c r="G333" s="11" t="s">
        <v>296</v>
      </c>
      <c r="H333" s="8" t="s">
        <v>151</v>
      </c>
      <c r="I333" s="45" t="s">
        <v>291</v>
      </c>
      <c r="J333" s="25">
        <v>43188</v>
      </c>
      <c r="K333" s="25">
        <v>43737</v>
      </c>
      <c r="L333" s="26">
        <f t="shared" si="159"/>
        <v>84.999999426373932</v>
      </c>
      <c r="M333" s="11" t="s">
        <v>136</v>
      </c>
      <c r="N333" s="11" t="s">
        <v>298</v>
      </c>
      <c r="O333" s="11" t="s">
        <v>298</v>
      </c>
      <c r="P333" s="27" t="s">
        <v>174</v>
      </c>
      <c r="Q333" s="11" t="s">
        <v>34</v>
      </c>
      <c r="R333" s="2">
        <f t="shared" si="160"/>
        <v>444540.46</v>
      </c>
      <c r="S333" s="2">
        <v>444540.46</v>
      </c>
      <c r="T333" s="2">
        <v>0</v>
      </c>
      <c r="U333" s="2">
        <f t="shared" si="161"/>
        <v>67988.539999999994</v>
      </c>
      <c r="V333" s="28">
        <v>67988.539999999994</v>
      </c>
      <c r="W333" s="28">
        <v>0</v>
      </c>
      <c r="X333" s="2">
        <f t="shared" si="162"/>
        <v>10459.780000000001</v>
      </c>
      <c r="Y333" s="1">
        <v>10459.780000000001</v>
      </c>
      <c r="Z333" s="2">
        <v>0</v>
      </c>
      <c r="AA333" s="2">
        <f t="shared" si="163"/>
        <v>0</v>
      </c>
      <c r="AB333" s="2">
        <v>0</v>
      </c>
      <c r="AC333" s="2">
        <v>0</v>
      </c>
      <c r="AD333" s="16">
        <f t="shared" si="158"/>
        <v>522988.78</v>
      </c>
      <c r="AE333" s="2">
        <v>0</v>
      </c>
      <c r="AF333" s="2">
        <f t="shared" si="164"/>
        <v>522988.78</v>
      </c>
      <c r="AG333" s="21" t="s">
        <v>857</v>
      </c>
      <c r="AH333" s="29" t="s">
        <v>972</v>
      </c>
      <c r="AI333" s="30">
        <v>306121.42</v>
      </c>
      <c r="AJ333" s="30">
        <v>46818.559999999998</v>
      </c>
    </row>
    <row r="334" spans="1:36" ht="189" x14ac:dyDescent="0.25">
      <c r="A334" s="6">
        <v>331</v>
      </c>
      <c r="B334" s="31">
        <v>121536</v>
      </c>
      <c r="C334" s="11">
        <v>102</v>
      </c>
      <c r="D334" s="9" t="s">
        <v>1638</v>
      </c>
      <c r="E334" s="24" t="s">
        <v>277</v>
      </c>
      <c r="F334" s="11" t="s">
        <v>1360</v>
      </c>
      <c r="G334" s="11" t="s">
        <v>293</v>
      </c>
      <c r="H334" s="8" t="s">
        <v>151</v>
      </c>
      <c r="I334" s="45" t="s">
        <v>299</v>
      </c>
      <c r="J334" s="25">
        <v>43186</v>
      </c>
      <c r="K334" s="25">
        <v>43643</v>
      </c>
      <c r="L334" s="26">
        <f t="shared" si="159"/>
        <v>85.000000246407055</v>
      </c>
      <c r="M334" s="11" t="s">
        <v>136</v>
      </c>
      <c r="N334" s="11" t="s">
        <v>298</v>
      </c>
      <c r="O334" s="11" t="s">
        <v>295</v>
      </c>
      <c r="P334" s="27" t="s">
        <v>174</v>
      </c>
      <c r="Q334" s="11" t="s">
        <v>34</v>
      </c>
      <c r="R334" s="2">
        <f t="shared" si="160"/>
        <v>344957.66</v>
      </c>
      <c r="S334" s="2">
        <v>344957.66</v>
      </c>
      <c r="T334" s="2">
        <v>0</v>
      </c>
      <c r="U334" s="2">
        <f t="shared" si="161"/>
        <v>52758.23</v>
      </c>
      <c r="V334" s="28">
        <v>52758.23</v>
      </c>
      <c r="W334" s="28">
        <v>0</v>
      </c>
      <c r="X334" s="2">
        <f t="shared" si="162"/>
        <v>8116.65</v>
      </c>
      <c r="Y334" s="2">
        <v>8116.65</v>
      </c>
      <c r="Z334" s="2">
        <v>0</v>
      </c>
      <c r="AA334" s="2">
        <f t="shared" si="163"/>
        <v>0</v>
      </c>
      <c r="AB334" s="2">
        <v>0</v>
      </c>
      <c r="AC334" s="2">
        <v>0</v>
      </c>
      <c r="AD334" s="16">
        <f t="shared" si="158"/>
        <v>405832.54</v>
      </c>
      <c r="AE334" s="2">
        <v>0</v>
      </c>
      <c r="AF334" s="2">
        <f t="shared" si="164"/>
        <v>405832.54</v>
      </c>
      <c r="AG334" s="21" t="s">
        <v>857</v>
      </c>
      <c r="AH334" s="29" t="s">
        <v>151</v>
      </c>
      <c r="AI334" s="30">
        <v>219496.65000000002</v>
      </c>
      <c r="AJ334" s="30">
        <v>33570.07</v>
      </c>
    </row>
    <row r="335" spans="1:36" ht="267.75" x14ac:dyDescent="0.25">
      <c r="A335" s="6">
        <v>332</v>
      </c>
      <c r="B335" s="31">
        <v>135976</v>
      </c>
      <c r="C335" s="11">
        <v>806</v>
      </c>
      <c r="D335" s="9" t="s">
        <v>1638</v>
      </c>
      <c r="E335" s="24" t="s">
        <v>1441</v>
      </c>
      <c r="F335" s="11" t="s">
        <v>1465</v>
      </c>
      <c r="G335" s="11" t="s">
        <v>891</v>
      </c>
      <c r="H335" s="8" t="s">
        <v>151</v>
      </c>
      <c r="I335" s="45" t="s">
        <v>2782</v>
      </c>
      <c r="J335" s="25">
        <v>43959</v>
      </c>
      <c r="K335" s="25">
        <v>44628</v>
      </c>
      <c r="L335" s="26">
        <f t="shared" si="159"/>
        <v>85.000000866607152</v>
      </c>
      <c r="M335" s="40">
        <v>6</v>
      </c>
      <c r="N335" s="11" t="s">
        <v>298</v>
      </c>
      <c r="O335" s="11" t="s">
        <v>298</v>
      </c>
      <c r="P335" s="27" t="s">
        <v>174</v>
      </c>
      <c r="Q335" s="11" t="s">
        <v>1450</v>
      </c>
      <c r="R335" s="2">
        <f t="shared" si="160"/>
        <v>490418.3</v>
      </c>
      <c r="S335" s="2">
        <v>490418.3</v>
      </c>
      <c r="T335" s="2">
        <v>0</v>
      </c>
      <c r="U335" s="2">
        <f t="shared" si="161"/>
        <v>75005.149999999994</v>
      </c>
      <c r="V335" s="28">
        <v>75005.149999999994</v>
      </c>
      <c r="W335" s="28">
        <v>0</v>
      </c>
      <c r="X335" s="2">
        <f t="shared" si="162"/>
        <v>11539.25</v>
      </c>
      <c r="Y335" s="2">
        <v>11539.25</v>
      </c>
      <c r="Z335" s="2">
        <v>0</v>
      </c>
      <c r="AA335" s="2">
        <f t="shared" si="163"/>
        <v>0</v>
      </c>
      <c r="AB335" s="2">
        <v>0</v>
      </c>
      <c r="AC335" s="2">
        <v>0</v>
      </c>
      <c r="AD335" s="16">
        <f t="shared" si="158"/>
        <v>576962.69999999995</v>
      </c>
      <c r="AE335" s="2">
        <v>0</v>
      </c>
      <c r="AF335" s="2">
        <f t="shared" si="164"/>
        <v>576962.69999999995</v>
      </c>
      <c r="AG335" s="38" t="s">
        <v>857</v>
      </c>
      <c r="AH335" s="38" t="s">
        <v>1764</v>
      </c>
      <c r="AI335" s="30">
        <f>10931.85+12767+34626.66+4797.4+10676+102506.6+7942.4+11684.95+206923.15+60588.85</f>
        <v>463444.86</v>
      </c>
      <c r="AJ335" s="30">
        <f>1671.93+1952.6+5295.84+733.72+1632.8+15677.48+1214.72+1787.11+31647.07+9266.53</f>
        <v>70879.8</v>
      </c>
    </row>
    <row r="336" spans="1:36" ht="267.75" x14ac:dyDescent="0.25">
      <c r="A336" s="6">
        <v>333</v>
      </c>
      <c r="B336" s="31">
        <v>136251</v>
      </c>
      <c r="C336" s="11">
        <v>822</v>
      </c>
      <c r="D336" s="9" t="s">
        <v>1638</v>
      </c>
      <c r="E336" s="24" t="s">
        <v>1441</v>
      </c>
      <c r="F336" s="11" t="s">
        <v>1577</v>
      </c>
      <c r="G336" s="11" t="s">
        <v>293</v>
      </c>
      <c r="H336" s="8" t="s">
        <v>151</v>
      </c>
      <c r="I336" s="45" t="s">
        <v>1578</v>
      </c>
      <c r="J336" s="25">
        <v>44020</v>
      </c>
      <c r="K336" s="25">
        <v>44689</v>
      </c>
      <c r="L336" s="26">
        <f t="shared" si="159"/>
        <v>85.000000000000014</v>
      </c>
      <c r="M336" s="40">
        <v>6</v>
      </c>
      <c r="N336" s="11" t="s">
        <v>298</v>
      </c>
      <c r="O336" s="11" t="s">
        <v>295</v>
      </c>
      <c r="P336" s="27" t="s">
        <v>174</v>
      </c>
      <c r="Q336" s="11" t="s">
        <v>1450</v>
      </c>
      <c r="R336" s="2">
        <f t="shared" si="160"/>
        <v>759150.98</v>
      </c>
      <c r="S336" s="2">
        <v>759150.98</v>
      </c>
      <c r="T336" s="2">
        <v>0</v>
      </c>
      <c r="U336" s="2">
        <f t="shared" si="161"/>
        <v>116105.44</v>
      </c>
      <c r="V336" s="28">
        <v>116105.44</v>
      </c>
      <c r="W336" s="28">
        <v>0</v>
      </c>
      <c r="X336" s="2">
        <f t="shared" si="162"/>
        <v>17862.38</v>
      </c>
      <c r="Y336" s="2">
        <v>17862.38</v>
      </c>
      <c r="Z336" s="2">
        <v>0</v>
      </c>
      <c r="AA336" s="2">
        <f t="shared" si="163"/>
        <v>0</v>
      </c>
      <c r="AB336" s="2">
        <v>0</v>
      </c>
      <c r="AC336" s="2">
        <v>0</v>
      </c>
      <c r="AD336" s="16">
        <f t="shared" si="158"/>
        <v>893118.79999999993</v>
      </c>
      <c r="AE336" s="2">
        <v>0</v>
      </c>
      <c r="AF336" s="2">
        <f t="shared" si="164"/>
        <v>893118.79999999993</v>
      </c>
      <c r="AG336" s="38" t="s">
        <v>857</v>
      </c>
      <c r="AH336" s="38" t="s">
        <v>1975</v>
      </c>
      <c r="AI336" s="30">
        <f>89311.88-3326.82-4204.74+56776.44+122243.22+121632.88+80974.15+89311.88+48653.15-31456.7-7674.66</f>
        <v>562240.68000000005</v>
      </c>
      <c r="AJ336" s="30">
        <f>3326.82+4204.74+18696.02+18602.67+26043.74+7441.07+7674.66</f>
        <v>85989.72</v>
      </c>
    </row>
    <row r="337" spans="1:36" ht="141.75" x14ac:dyDescent="0.25">
      <c r="A337" s="6">
        <v>334</v>
      </c>
      <c r="B337" s="31">
        <v>119377</v>
      </c>
      <c r="C337" s="11">
        <v>463</v>
      </c>
      <c r="D337" s="9" t="s">
        <v>1638</v>
      </c>
      <c r="E337" s="11" t="s">
        <v>457</v>
      </c>
      <c r="F337" s="27" t="s">
        <v>764</v>
      </c>
      <c r="G337" s="11" t="s">
        <v>762</v>
      </c>
      <c r="H337" s="8" t="s">
        <v>151</v>
      </c>
      <c r="I337" s="32" t="s">
        <v>2783</v>
      </c>
      <c r="J337" s="25">
        <v>43332</v>
      </c>
      <c r="K337" s="25">
        <v>43819</v>
      </c>
      <c r="L337" s="26">
        <f t="shared" ref="L337:L345" si="165">R337/AD337*100</f>
        <v>85.000001900439869</v>
      </c>
      <c r="M337" s="11">
        <v>6</v>
      </c>
      <c r="N337" s="11" t="s">
        <v>763</v>
      </c>
      <c r="O337" s="11" t="s">
        <v>763</v>
      </c>
      <c r="P337" s="11" t="s">
        <v>174</v>
      </c>
      <c r="Q337" s="27" t="s">
        <v>34</v>
      </c>
      <c r="R337" s="1">
        <f t="shared" ref="R337:R345" si="166">S337+T337</f>
        <v>313085.42</v>
      </c>
      <c r="S337" s="2">
        <v>313085.42</v>
      </c>
      <c r="T337" s="2">
        <v>0</v>
      </c>
      <c r="U337" s="1">
        <f t="shared" ref="U337:U345" si="167">V337+W337</f>
        <v>47883.64</v>
      </c>
      <c r="V337" s="28">
        <v>47883.64</v>
      </c>
      <c r="W337" s="28">
        <v>0</v>
      </c>
      <c r="X337" s="30">
        <f t="shared" ref="X337:X345" si="168">Y337+Z337</f>
        <v>7366.72</v>
      </c>
      <c r="Y337" s="30">
        <v>7366.72</v>
      </c>
      <c r="Z337" s="30">
        <v>0</v>
      </c>
      <c r="AA337" s="2">
        <f t="shared" ref="AA337:AA345" si="169">AB337+AC337</f>
        <v>0</v>
      </c>
      <c r="AB337" s="37">
        <v>0</v>
      </c>
      <c r="AC337" s="37">
        <v>0</v>
      </c>
      <c r="AD337" s="16">
        <f t="shared" si="158"/>
        <v>368335.77999999997</v>
      </c>
      <c r="AE337" s="51">
        <v>4938.5</v>
      </c>
      <c r="AF337" s="2">
        <f t="shared" ref="AF337:AF341" si="170">AD337+AE337</f>
        <v>373274.27999999997</v>
      </c>
      <c r="AG337" s="38" t="s">
        <v>857</v>
      </c>
      <c r="AH337" s="35" t="s">
        <v>151</v>
      </c>
      <c r="AI337" s="30">
        <v>133874.00999999998</v>
      </c>
      <c r="AJ337" s="30">
        <v>20474.830000000002</v>
      </c>
    </row>
    <row r="338" spans="1:36" ht="157.5" x14ac:dyDescent="0.25">
      <c r="A338" s="6">
        <v>335</v>
      </c>
      <c r="B338" s="31">
        <v>126124</v>
      </c>
      <c r="C338" s="11">
        <v>532</v>
      </c>
      <c r="D338" s="9" t="s">
        <v>1638</v>
      </c>
      <c r="E338" s="11" t="s">
        <v>899</v>
      </c>
      <c r="F338" s="27" t="s">
        <v>948</v>
      </c>
      <c r="G338" s="11" t="s">
        <v>762</v>
      </c>
      <c r="H338" s="8" t="s">
        <v>151</v>
      </c>
      <c r="I338" s="32" t="s">
        <v>949</v>
      </c>
      <c r="J338" s="25">
        <v>43462</v>
      </c>
      <c r="K338" s="25">
        <v>44528</v>
      </c>
      <c r="L338" s="26">
        <f t="shared" si="165"/>
        <v>84.999999694403598</v>
      </c>
      <c r="M338" s="11">
        <v>6</v>
      </c>
      <c r="N338" s="11" t="s">
        <v>763</v>
      </c>
      <c r="O338" s="11" t="s">
        <v>763</v>
      </c>
      <c r="P338" s="11" t="s">
        <v>174</v>
      </c>
      <c r="Q338" s="27" t="s">
        <v>34</v>
      </c>
      <c r="R338" s="1">
        <f t="shared" si="166"/>
        <v>2086084.74</v>
      </c>
      <c r="S338" s="2">
        <v>2086084.74</v>
      </c>
      <c r="T338" s="2">
        <v>0</v>
      </c>
      <c r="U338" s="1">
        <f t="shared" si="167"/>
        <v>319048.28000000003</v>
      </c>
      <c r="V338" s="28">
        <v>319048.28000000003</v>
      </c>
      <c r="W338" s="28">
        <v>0</v>
      </c>
      <c r="X338" s="30">
        <f t="shared" si="168"/>
        <v>49084.33</v>
      </c>
      <c r="Y338" s="30">
        <v>49084.33</v>
      </c>
      <c r="Z338" s="30">
        <v>0</v>
      </c>
      <c r="AA338" s="2">
        <f t="shared" si="169"/>
        <v>0</v>
      </c>
      <c r="AB338" s="37">
        <v>0</v>
      </c>
      <c r="AC338" s="37">
        <v>0</v>
      </c>
      <c r="AD338" s="16">
        <f t="shared" si="158"/>
        <v>2454217.35</v>
      </c>
      <c r="AE338" s="51">
        <v>0</v>
      </c>
      <c r="AF338" s="2">
        <f t="shared" si="170"/>
        <v>2454217.35</v>
      </c>
      <c r="AG338" s="38" t="s">
        <v>857</v>
      </c>
      <c r="AH338" s="38" t="s">
        <v>1743</v>
      </c>
      <c r="AI338" s="30">
        <f>108981.2+420032.45+152281.32+363688.87+137544.14+237753.81+391498.77+425</f>
        <v>1812205.56</v>
      </c>
      <c r="AJ338" s="30">
        <f>16667.72+64240.27+23290.09+55623.01+21036.17+36362.34+59876.29+65</f>
        <v>277160.89</v>
      </c>
    </row>
    <row r="339" spans="1:36" ht="171.75" customHeight="1" x14ac:dyDescent="0.25">
      <c r="A339" s="6">
        <v>336</v>
      </c>
      <c r="B339" s="11">
        <v>129237</v>
      </c>
      <c r="C339" s="11">
        <v>670</v>
      </c>
      <c r="D339" s="9" t="s">
        <v>1638</v>
      </c>
      <c r="E339" s="24" t="s">
        <v>1071</v>
      </c>
      <c r="F339" s="11" t="s">
        <v>1237</v>
      </c>
      <c r="G339" s="11" t="s">
        <v>1238</v>
      </c>
      <c r="H339" s="8" t="s">
        <v>151</v>
      </c>
      <c r="I339" s="12" t="s">
        <v>1239</v>
      </c>
      <c r="J339" s="25">
        <v>43697</v>
      </c>
      <c r="K339" s="25">
        <v>44946</v>
      </c>
      <c r="L339" s="26">
        <f t="shared" si="165"/>
        <v>85</v>
      </c>
      <c r="M339" s="11">
        <v>6</v>
      </c>
      <c r="N339" s="11" t="s">
        <v>763</v>
      </c>
      <c r="O339" s="11" t="s">
        <v>1240</v>
      </c>
      <c r="P339" s="27" t="s">
        <v>174</v>
      </c>
      <c r="Q339" s="11" t="s">
        <v>34</v>
      </c>
      <c r="R339" s="1">
        <f t="shared" si="166"/>
        <v>2465000</v>
      </c>
      <c r="S339" s="2">
        <v>2465000</v>
      </c>
      <c r="T339" s="2">
        <v>0</v>
      </c>
      <c r="U339" s="1">
        <f t="shared" si="167"/>
        <v>377000</v>
      </c>
      <c r="V339" s="28">
        <v>377000</v>
      </c>
      <c r="W339" s="28">
        <v>0</v>
      </c>
      <c r="X339" s="1">
        <f t="shared" si="168"/>
        <v>58000</v>
      </c>
      <c r="Y339" s="2">
        <v>58000</v>
      </c>
      <c r="Z339" s="2">
        <v>0</v>
      </c>
      <c r="AA339" s="2">
        <f t="shared" si="169"/>
        <v>0</v>
      </c>
      <c r="AB339" s="2">
        <v>0</v>
      </c>
      <c r="AC339" s="2">
        <v>0</v>
      </c>
      <c r="AD339" s="16">
        <f t="shared" si="158"/>
        <v>2900000</v>
      </c>
      <c r="AE339" s="2">
        <v>0</v>
      </c>
      <c r="AF339" s="2">
        <f t="shared" si="170"/>
        <v>2900000</v>
      </c>
      <c r="AG339" s="38" t="s">
        <v>486</v>
      </c>
      <c r="AH339" s="29" t="s">
        <v>3165</v>
      </c>
      <c r="AI339" s="30">
        <f>378814.52-15254.59+264996.14+310640.81+340167.45+253198.17+463751.93-14909.5+161579.54-13153.66+32190.99+245620.17</f>
        <v>2407641.9699999997</v>
      </c>
      <c r="AJ339" s="30">
        <f>36524.57+15254.59+81552.25+52025.61+4681.95+70926.76+14909.5+24712.16+13153.66+4923.33+5210.27</f>
        <v>323874.65000000002</v>
      </c>
    </row>
    <row r="340" spans="1:36" ht="171.75" customHeight="1" x14ac:dyDescent="0.25">
      <c r="A340" s="6">
        <v>337</v>
      </c>
      <c r="B340" s="11">
        <v>135083</v>
      </c>
      <c r="C340" s="11">
        <v>787</v>
      </c>
      <c r="D340" s="9" t="s">
        <v>1638</v>
      </c>
      <c r="E340" s="24" t="s">
        <v>1441</v>
      </c>
      <c r="F340" s="11" t="s">
        <v>1502</v>
      </c>
      <c r="G340" s="11" t="s">
        <v>762</v>
      </c>
      <c r="H340" s="8" t="s">
        <v>151</v>
      </c>
      <c r="I340" s="12" t="s">
        <v>2784</v>
      </c>
      <c r="J340" s="25">
        <v>43973</v>
      </c>
      <c r="K340" s="25">
        <v>44917</v>
      </c>
      <c r="L340" s="26">
        <f t="shared" si="165"/>
        <v>85.000000133164178</v>
      </c>
      <c r="M340" s="11">
        <v>6</v>
      </c>
      <c r="N340" s="11" t="s">
        <v>763</v>
      </c>
      <c r="O340" s="11" t="s">
        <v>763</v>
      </c>
      <c r="P340" s="11" t="s">
        <v>174</v>
      </c>
      <c r="Q340" s="11" t="s">
        <v>34</v>
      </c>
      <c r="R340" s="1">
        <f t="shared" si="166"/>
        <v>2234084.3199999998</v>
      </c>
      <c r="S340" s="2">
        <v>2234084.3199999998</v>
      </c>
      <c r="T340" s="2">
        <v>0</v>
      </c>
      <c r="U340" s="1">
        <f t="shared" si="167"/>
        <v>341683.48</v>
      </c>
      <c r="V340" s="28">
        <v>341683.48</v>
      </c>
      <c r="W340" s="28">
        <v>0</v>
      </c>
      <c r="X340" s="1">
        <f t="shared" si="168"/>
        <v>52566.69</v>
      </c>
      <c r="Y340" s="2">
        <v>52566.69</v>
      </c>
      <c r="Z340" s="2">
        <v>0</v>
      </c>
      <c r="AA340" s="2">
        <f t="shared" si="169"/>
        <v>0</v>
      </c>
      <c r="AB340" s="2">
        <v>0</v>
      </c>
      <c r="AC340" s="2">
        <v>0</v>
      </c>
      <c r="AD340" s="16">
        <f t="shared" si="158"/>
        <v>2628334.4899999998</v>
      </c>
      <c r="AE340" s="2">
        <v>0</v>
      </c>
      <c r="AF340" s="2">
        <f t="shared" si="170"/>
        <v>2628334.4899999998</v>
      </c>
      <c r="AG340" s="38" t="s">
        <v>486</v>
      </c>
      <c r="AH340" s="29" t="s">
        <v>2043</v>
      </c>
      <c r="AI340" s="30">
        <f>425+46534.06+55068.9+44200+269994.64+323680+334806.5+530506.46</f>
        <v>1605215.56</v>
      </c>
      <c r="AJ340" s="30">
        <f>65+7116.97+8422.3+6760+41293.3+49504+51205.7+81136.28</f>
        <v>245503.55000000002</v>
      </c>
    </row>
    <row r="341" spans="1:36" ht="171.75" customHeight="1" x14ac:dyDescent="0.25">
      <c r="A341" s="6">
        <v>338</v>
      </c>
      <c r="B341" s="11">
        <v>135769</v>
      </c>
      <c r="C341" s="11">
        <v>845</v>
      </c>
      <c r="D341" s="9" t="s">
        <v>1638</v>
      </c>
      <c r="E341" s="24" t="s">
        <v>1441</v>
      </c>
      <c r="F341" s="11" t="s">
        <v>1553</v>
      </c>
      <c r="G341" s="11" t="s">
        <v>1238</v>
      </c>
      <c r="H341" s="8" t="s">
        <v>151</v>
      </c>
      <c r="I341" s="12" t="s">
        <v>2785</v>
      </c>
      <c r="J341" s="25">
        <v>44011</v>
      </c>
      <c r="K341" s="25">
        <v>44924</v>
      </c>
      <c r="L341" s="26">
        <f t="shared" si="165"/>
        <v>85.000000109361991</v>
      </c>
      <c r="M341" s="11">
        <v>6</v>
      </c>
      <c r="N341" s="11" t="s">
        <v>763</v>
      </c>
      <c r="O341" s="11" t="s">
        <v>1240</v>
      </c>
      <c r="P341" s="11" t="s">
        <v>174</v>
      </c>
      <c r="Q341" s="11" t="s">
        <v>34</v>
      </c>
      <c r="R341" s="1">
        <f t="shared" si="166"/>
        <v>2331705.91</v>
      </c>
      <c r="S341" s="2">
        <v>2331705.91</v>
      </c>
      <c r="T341" s="2">
        <v>0</v>
      </c>
      <c r="U341" s="1">
        <f t="shared" si="167"/>
        <v>356613.86</v>
      </c>
      <c r="V341" s="28">
        <v>356613.86</v>
      </c>
      <c r="W341" s="28">
        <v>0</v>
      </c>
      <c r="X341" s="1">
        <f t="shared" si="168"/>
        <v>54863.65</v>
      </c>
      <c r="Y341" s="2">
        <v>54863.65</v>
      </c>
      <c r="Z341" s="2">
        <v>0</v>
      </c>
      <c r="AA341" s="2">
        <f t="shared" si="169"/>
        <v>0</v>
      </c>
      <c r="AB341" s="2">
        <v>0</v>
      </c>
      <c r="AC341" s="2">
        <v>0</v>
      </c>
      <c r="AD341" s="16">
        <f t="shared" si="158"/>
        <v>2743183.42</v>
      </c>
      <c r="AE341" s="2">
        <v>0</v>
      </c>
      <c r="AF341" s="2">
        <f t="shared" si="170"/>
        <v>2743183.42</v>
      </c>
      <c r="AG341" s="38" t="s">
        <v>486</v>
      </c>
      <c r="AH341" s="29" t="s">
        <v>2299</v>
      </c>
      <c r="AI341" s="30">
        <f>274300-21766.39-7507.24+560725.02+22064.57+416738+27406.55+107724.75+257522.09</f>
        <v>1637207.35</v>
      </c>
      <c r="AJ341" s="30">
        <f>21766.39+7507.24+85757.95+11575.58+63736.4+4191.59+16475.55+39385.73</f>
        <v>250396.43</v>
      </c>
    </row>
    <row r="342" spans="1:36" ht="171.75" customHeight="1" x14ac:dyDescent="0.25">
      <c r="A342" s="6">
        <v>339</v>
      </c>
      <c r="B342" s="11">
        <v>151935</v>
      </c>
      <c r="C342" s="11">
        <v>1107</v>
      </c>
      <c r="D342" s="9" t="s">
        <v>1639</v>
      </c>
      <c r="E342" s="24" t="s">
        <v>1801</v>
      </c>
      <c r="F342" s="11" t="s">
        <v>1818</v>
      </c>
      <c r="G342" s="11" t="s">
        <v>1817</v>
      </c>
      <c r="H342" s="8" t="s">
        <v>151</v>
      </c>
      <c r="I342" s="12" t="s">
        <v>1819</v>
      </c>
      <c r="J342" s="25">
        <v>44481</v>
      </c>
      <c r="K342" s="25">
        <v>44846</v>
      </c>
      <c r="L342" s="26">
        <f t="shared" si="165"/>
        <v>85.000000143522072</v>
      </c>
      <c r="M342" s="11">
        <v>6</v>
      </c>
      <c r="N342" s="11" t="s">
        <v>763</v>
      </c>
      <c r="O342" s="11" t="s">
        <v>763</v>
      </c>
      <c r="P342" s="11" t="s">
        <v>174</v>
      </c>
      <c r="Q342" s="27" t="s">
        <v>34</v>
      </c>
      <c r="R342" s="1">
        <f t="shared" si="166"/>
        <v>296121.7</v>
      </c>
      <c r="S342" s="2">
        <v>296121.7</v>
      </c>
      <c r="T342" s="2">
        <v>0</v>
      </c>
      <c r="U342" s="1">
        <f t="shared" si="167"/>
        <v>45289.2</v>
      </c>
      <c r="V342" s="28">
        <v>45289.2</v>
      </c>
      <c r="W342" s="28">
        <v>0</v>
      </c>
      <c r="X342" s="1">
        <f t="shared" si="168"/>
        <v>6967.57</v>
      </c>
      <c r="Y342" s="2">
        <v>6967.57</v>
      </c>
      <c r="Z342" s="2">
        <v>0</v>
      </c>
      <c r="AA342" s="2">
        <f t="shared" si="169"/>
        <v>0</v>
      </c>
      <c r="AB342" s="2">
        <v>0</v>
      </c>
      <c r="AC342" s="2">
        <v>0</v>
      </c>
      <c r="AD342" s="16">
        <f t="shared" si="158"/>
        <v>348378.47000000003</v>
      </c>
      <c r="AE342" s="2">
        <v>0</v>
      </c>
      <c r="AF342" s="2">
        <f>AD342+AE342</f>
        <v>348378.47000000003</v>
      </c>
      <c r="AG342" s="38" t="s">
        <v>857</v>
      </c>
      <c r="AH342" s="29" t="s">
        <v>151</v>
      </c>
      <c r="AI342" s="30">
        <f>5209.23+116322.5+112094.43</f>
        <v>233626.15999999997</v>
      </c>
      <c r="AJ342" s="30">
        <f>796.7+17790.5+17143.85</f>
        <v>35731.050000000003</v>
      </c>
    </row>
    <row r="343" spans="1:36" ht="171.75" customHeight="1" x14ac:dyDescent="0.25">
      <c r="A343" s="6">
        <v>340</v>
      </c>
      <c r="B343" s="11">
        <v>152093</v>
      </c>
      <c r="C343" s="11">
        <v>1132</v>
      </c>
      <c r="D343" s="9" t="s">
        <v>1639</v>
      </c>
      <c r="E343" s="24" t="s">
        <v>1801</v>
      </c>
      <c r="F343" s="11" t="s">
        <v>1937</v>
      </c>
      <c r="G343" s="11" t="s">
        <v>1238</v>
      </c>
      <c r="H343" s="8" t="s">
        <v>151</v>
      </c>
      <c r="I343" s="12" t="s">
        <v>2786</v>
      </c>
      <c r="J343" s="25">
        <v>44546</v>
      </c>
      <c r="K343" s="25">
        <v>44911</v>
      </c>
      <c r="L343" s="26">
        <f t="shared" si="165"/>
        <v>85.000000000000014</v>
      </c>
      <c r="M343" s="11">
        <v>6</v>
      </c>
      <c r="N343" s="11" t="s">
        <v>763</v>
      </c>
      <c r="O343" s="11" t="s">
        <v>1240</v>
      </c>
      <c r="P343" s="11" t="s">
        <v>174</v>
      </c>
      <c r="Q343" s="11" t="s">
        <v>34</v>
      </c>
      <c r="R343" s="1">
        <f t="shared" si="166"/>
        <v>352608.9</v>
      </c>
      <c r="S343" s="2">
        <v>352608.9</v>
      </c>
      <c r="T343" s="2">
        <v>0</v>
      </c>
      <c r="U343" s="1">
        <f t="shared" si="167"/>
        <v>53928.42</v>
      </c>
      <c r="V343" s="28">
        <v>53928.42</v>
      </c>
      <c r="W343" s="28">
        <v>0</v>
      </c>
      <c r="X343" s="1">
        <f t="shared" si="168"/>
        <v>8296.68</v>
      </c>
      <c r="Y343" s="2">
        <v>8296.68</v>
      </c>
      <c r="Z343" s="2">
        <v>0</v>
      </c>
      <c r="AA343" s="2">
        <f t="shared" si="169"/>
        <v>0</v>
      </c>
      <c r="AB343" s="2">
        <v>0</v>
      </c>
      <c r="AC343" s="2">
        <v>0</v>
      </c>
      <c r="AD343" s="16">
        <f t="shared" si="158"/>
        <v>414834</v>
      </c>
      <c r="AE343" s="2">
        <v>0</v>
      </c>
      <c r="AF343" s="2">
        <f>AD343+AE343</f>
        <v>414834</v>
      </c>
      <c r="AG343" s="38" t="s">
        <v>486</v>
      </c>
      <c r="AH343" s="29" t="s">
        <v>151</v>
      </c>
      <c r="AI343" s="30">
        <f>41483.4+121380+51586.5</f>
        <v>214449.9</v>
      </c>
      <c r="AJ343" s="30">
        <f>18564+7889.7</f>
        <v>26453.7</v>
      </c>
    </row>
    <row r="344" spans="1:36" ht="171.75" customHeight="1" x14ac:dyDescent="0.25">
      <c r="A344" s="6">
        <v>341</v>
      </c>
      <c r="B344" s="11">
        <v>154673</v>
      </c>
      <c r="C344" s="11">
        <v>1239</v>
      </c>
      <c r="D344" s="9" t="s">
        <v>1638</v>
      </c>
      <c r="E344" s="24" t="s">
        <v>2012</v>
      </c>
      <c r="F344" s="11" t="s">
        <v>2198</v>
      </c>
      <c r="G344" s="11" t="s">
        <v>1238</v>
      </c>
      <c r="H344" s="8" t="s">
        <v>151</v>
      </c>
      <c r="I344" s="12" t="s">
        <v>2787</v>
      </c>
      <c r="J344" s="25">
        <v>44694</v>
      </c>
      <c r="K344" s="25">
        <v>45120</v>
      </c>
      <c r="L344" s="26">
        <f t="shared" si="165"/>
        <v>85</v>
      </c>
      <c r="M344" s="11">
        <v>6</v>
      </c>
      <c r="N344" s="11" t="s">
        <v>763</v>
      </c>
      <c r="O344" s="11" t="s">
        <v>1240</v>
      </c>
      <c r="P344" s="11" t="s">
        <v>174</v>
      </c>
      <c r="Q344" s="11" t="s">
        <v>34</v>
      </c>
      <c r="R344" s="1">
        <f t="shared" si="166"/>
        <v>361105.5</v>
      </c>
      <c r="S344" s="2">
        <v>361105.5</v>
      </c>
      <c r="T344" s="2">
        <v>0</v>
      </c>
      <c r="U344" s="1">
        <f t="shared" si="167"/>
        <v>55227.9</v>
      </c>
      <c r="V344" s="28">
        <v>55227.9</v>
      </c>
      <c r="W344" s="28">
        <v>0</v>
      </c>
      <c r="X344" s="1">
        <f t="shared" si="168"/>
        <v>8496.6</v>
      </c>
      <c r="Y344" s="2">
        <v>8496.6</v>
      </c>
      <c r="Z344" s="2">
        <v>0</v>
      </c>
      <c r="AA344" s="2">
        <f t="shared" si="169"/>
        <v>0</v>
      </c>
      <c r="AB344" s="2">
        <v>0</v>
      </c>
      <c r="AC344" s="2">
        <v>0</v>
      </c>
      <c r="AD344" s="16">
        <f t="shared" si="158"/>
        <v>424830</v>
      </c>
      <c r="AE344" s="2">
        <v>0</v>
      </c>
      <c r="AF344" s="2">
        <f>AD344+AE344</f>
        <v>424830</v>
      </c>
      <c r="AG344" s="38" t="s">
        <v>486</v>
      </c>
      <c r="AH344" s="29" t="s">
        <v>151</v>
      </c>
      <c r="AI344" s="30">
        <v>42483</v>
      </c>
      <c r="AJ344" s="30">
        <v>0</v>
      </c>
    </row>
    <row r="345" spans="1:36" ht="171.75" customHeight="1" x14ac:dyDescent="0.25">
      <c r="A345" s="6">
        <v>342</v>
      </c>
      <c r="B345" s="11">
        <v>154682</v>
      </c>
      <c r="C345" s="11">
        <v>1251</v>
      </c>
      <c r="D345" s="9" t="s">
        <v>1638</v>
      </c>
      <c r="E345" s="24" t="s">
        <v>2012</v>
      </c>
      <c r="F345" s="11" t="s">
        <v>2218</v>
      </c>
      <c r="G345" s="11" t="s">
        <v>762</v>
      </c>
      <c r="H345" s="8" t="s">
        <v>151</v>
      </c>
      <c r="I345" s="12" t="s">
        <v>2788</v>
      </c>
      <c r="J345" s="25">
        <v>44705</v>
      </c>
      <c r="K345" s="25">
        <v>45070</v>
      </c>
      <c r="L345" s="26">
        <f t="shared" si="165"/>
        <v>85</v>
      </c>
      <c r="M345" s="11">
        <v>6</v>
      </c>
      <c r="N345" s="11" t="s">
        <v>763</v>
      </c>
      <c r="O345" s="11" t="s">
        <v>1240</v>
      </c>
      <c r="P345" s="11" t="s">
        <v>174</v>
      </c>
      <c r="Q345" s="11" t="s">
        <v>34</v>
      </c>
      <c r="R345" s="1">
        <f t="shared" si="166"/>
        <v>441544.4</v>
      </c>
      <c r="S345" s="2">
        <v>441544.4</v>
      </c>
      <c r="T345" s="2">
        <v>0</v>
      </c>
      <c r="U345" s="1">
        <f t="shared" si="167"/>
        <v>67530.320000000007</v>
      </c>
      <c r="V345" s="28">
        <v>67530.320000000007</v>
      </c>
      <c r="W345" s="28">
        <v>0</v>
      </c>
      <c r="X345" s="1">
        <f t="shared" si="168"/>
        <v>10389.280000000001</v>
      </c>
      <c r="Y345" s="2">
        <v>10389.280000000001</v>
      </c>
      <c r="Z345" s="2">
        <v>0</v>
      </c>
      <c r="AA345" s="2">
        <f t="shared" si="169"/>
        <v>0</v>
      </c>
      <c r="AB345" s="2">
        <v>0</v>
      </c>
      <c r="AC345" s="2">
        <v>0</v>
      </c>
      <c r="AD345" s="16">
        <f t="shared" si="158"/>
        <v>519464.00000000006</v>
      </c>
      <c r="AE345" s="2">
        <v>0</v>
      </c>
      <c r="AF345" s="2">
        <f>AD345+AE345</f>
        <v>519464.00000000006</v>
      </c>
      <c r="AG345" s="38" t="s">
        <v>486</v>
      </c>
      <c r="AH345" s="29" t="s">
        <v>151</v>
      </c>
      <c r="AI345" s="30">
        <v>0</v>
      </c>
      <c r="AJ345" s="30">
        <v>0</v>
      </c>
    </row>
    <row r="346" spans="1:36" ht="150.75" customHeight="1" x14ac:dyDescent="0.25">
      <c r="A346" s="6">
        <v>343</v>
      </c>
      <c r="B346" s="11">
        <v>118759</v>
      </c>
      <c r="C346" s="11">
        <v>439</v>
      </c>
      <c r="D346" s="32" t="s">
        <v>1639</v>
      </c>
      <c r="E346" s="32" t="s">
        <v>507</v>
      </c>
      <c r="F346" s="27" t="s">
        <v>657</v>
      </c>
      <c r="G346" s="11" t="s">
        <v>658</v>
      </c>
      <c r="H346" s="11" t="s">
        <v>659</v>
      </c>
      <c r="I346" s="32" t="s">
        <v>2789</v>
      </c>
      <c r="J346" s="25">
        <v>43304</v>
      </c>
      <c r="K346" s="25">
        <v>44067</v>
      </c>
      <c r="L346" s="26">
        <f t="shared" ref="L346:L353" si="171">R346/AD346*100</f>
        <v>84.213980856539493</v>
      </c>
      <c r="M346" s="27">
        <v>7</v>
      </c>
      <c r="N346" s="27" t="s">
        <v>660</v>
      </c>
      <c r="O346" s="27" t="s">
        <v>660</v>
      </c>
      <c r="P346" s="27" t="s">
        <v>174</v>
      </c>
      <c r="Q346" s="27" t="s">
        <v>34</v>
      </c>
      <c r="R346" s="1">
        <f t="shared" ref="R346:R353" si="172">S346+T346</f>
        <v>288260.65000000002</v>
      </c>
      <c r="S346" s="121">
        <v>288260.65000000002</v>
      </c>
      <c r="T346" s="57">
        <v>0</v>
      </c>
      <c r="U346" s="1">
        <v>47188.93</v>
      </c>
      <c r="V346" s="87">
        <v>47188.93</v>
      </c>
      <c r="W346" s="87" t="s">
        <v>663</v>
      </c>
      <c r="X346" s="1">
        <v>6845.9</v>
      </c>
      <c r="Y346" s="57">
        <v>6845.9</v>
      </c>
      <c r="Z346" s="57" t="s">
        <v>663</v>
      </c>
      <c r="AA346" s="2">
        <f t="shared" ref="AA346:AA353" si="173">AB346+AC346</f>
        <v>0</v>
      </c>
      <c r="AB346" s="2">
        <v>0</v>
      </c>
      <c r="AC346" s="2">
        <v>0</v>
      </c>
      <c r="AD346" s="16">
        <f t="shared" si="158"/>
        <v>342295.48000000004</v>
      </c>
      <c r="AE346" s="35"/>
      <c r="AF346" s="2">
        <f t="shared" ref="AF346:AF353" si="174">AD346+AE346</f>
        <v>342295.48000000004</v>
      </c>
      <c r="AG346" s="38" t="s">
        <v>857</v>
      </c>
      <c r="AH346" s="122" t="s">
        <v>1551</v>
      </c>
      <c r="AI346" s="30">
        <f>183263.95+2590.63+1665.17+3686.23</f>
        <v>191205.98000000004</v>
      </c>
      <c r="AJ346" s="30">
        <f>26943.68+2506.84+827.67+457.17+293.85+814.14</f>
        <v>31843.349999999995</v>
      </c>
    </row>
    <row r="347" spans="1:36" ht="139.5" customHeight="1" x14ac:dyDescent="0.25">
      <c r="A347" s="6">
        <v>344</v>
      </c>
      <c r="B347" s="31">
        <v>119841</v>
      </c>
      <c r="C347" s="11">
        <v>477</v>
      </c>
      <c r="D347" s="9" t="s">
        <v>1638</v>
      </c>
      <c r="E347" s="32" t="s">
        <v>457</v>
      </c>
      <c r="F347" s="11" t="s">
        <v>672</v>
      </c>
      <c r="G347" s="11" t="s">
        <v>658</v>
      </c>
      <c r="H347" s="11" t="s">
        <v>659</v>
      </c>
      <c r="I347" s="32" t="s">
        <v>2790</v>
      </c>
      <c r="J347" s="25">
        <v>43304</v>
      </c>
      <c r="K347" s="25">
        <v>44035</v>
      </c>
      <c r="L347" s="26">
        <f t="shared" si="171"/>
        <v>84.228550955221309</v>
      </c>
      <c r="M347" s="27">
        <v>7</v>
      </c>
      <c r="N347" s="27" t="s">
        <v>660</v>
      </c>
      <c r="O347" s="27" t="s">
        <v>660</v>
      </c>
      <c r="P347" s="27" t="s">
        <v>174</v>
      </c>
      <c r="Q347" s="11" t="s">
        <v>34</v>
      </c>
      <c r="R347" s="1">
        <f t="shared" si="172"/>
        <v>481603.39</v>
      </c>
      <c r="S347" s="30">
        <v>481603.39</v>
      </c>
      <c r="T347" s="57">
        <v>0</v>
      </c>
      <c r="U347" s="1">
        <f t="shared" ref="U347:U353" si="175">V347+W347</f>
        <v>78742.570000000007</v>
      </c>
      <c r="V347" s="42">
        <v>78742.570000000007</v>
      </c>
      <c r="W347" s="87">
        <v>0</v>
      </c>
      <c r="X347" s="1">
        <f t="shared" ref="X347:X353" si="176">Y347+Z347</f>
        <v>6246.23</v>
      </c>
      <c r="Y347" s="30">
        <v>6246.23</v>
      </c>
      <c r="Z347" s="57">
        <v>0</v>
      </c>
      <c r="AA347" s="2">
        <f t="shared" si="173"/>
        <v>5189.45</v>
      </c>
      <c r="AB347" s="37">
        <v>5189.45</v>
      </c>
      <c r="AC347" s="37">
        <v>0</v>
      </c>
      <c r="AD347" s="16">
        <f t="shared" si="158"/>
        <v>571781.6399999999</v>
      </c>
      <c r="AE347" s="35"/>
      <c r="AF347" s="2">
        <f t="shared" si="174"/>
        <v>571781.6399999999</v>
      </c>
      <c r="AG347" s="38" t="s">
        <v>857</v>
      </c>
      <c r="AH347" s="29" t="s">
        <v>1542</v>
      </c>
      <c r="AI347" s="30">
        <f>364128.16+44922.39+5304.55+18795.8</f>
        <v>433150.89999999997</v>
      </c>
      <c r="AJ347" s="30">
        <f>57655.87+9344.13+936.09+3322.23</f>
        <v>71258.319999999992</v>
      </c>
    </row>
    <row r="348" spans="1:36" ht="288.75" customHeight="1" x14ac:dyDescent="0.25">
      <c r="A348" s="6">
        <v>345</v>
      </c>
      <c r="B348" s="31">
        <v>126267</v>
      </c>
      <c r="C348" s="11">
        <v>540</v>
      </c>
      <c r="D348" s="9" t="s">
        <v>1638</v>
      </c>
      <c r="E348" s="11" t="s">
        <v>899</v>
      </c>
      <c r="F348" s="11" t="s">
        <v>1017</v>
      </c>
      <c r="G348" s="11" t="s">
        <v>1018</v>
      </c>
      <c r="H348" s="8" t="s">
        <v>151</v>
      </c>
      <c r="I348" s="32" t="s">
        <v>2791</v>
      </c>
      <c r="J348" s="25">
        <v>43544</v>
      </c>
      <c r="K348" s="25">
        <v>44915</v>
      </c>
      <c r="L348" s="26">
        <f t="shared" si="171"/>
        <v>85.000000177713346</v>
      </c>
      <c r="M348" s="27">
        <v>7</v>
      </c>
      <c r="N348" s="27" t="s">
        <v>660</v>
      </c>
      <c r="O348" s="27" t="s">
        <v>660</v>
      </c>
      <c r="P348" s="27" t="s">
        <v>174</v>
      </c>
      <c r="Q348" s="11" t="s">
        <v>34</v>
      </c>
      <c r="R348" s="1">
        <f t="shared" si="172"/>
        <v>2630640.84</v>
      </c>
      <c r="S348" s="30">
        <v>2630640.84</v>
      </c>
      <c r="T348" s="57">
        <v>0</v>
      </c>
      <c r="U348" s="1">
        <f t="shared" si="175"/>
        <v>402333.3</v>
      </c>
      <c r="V348" s="42">
        <v>402333.3</v>
      </c>
      <c r="W348" s="87">
        <v>0</v>
      </c>
      <c r="X348" s="1">
        <f t="shared" si="176"/>
        <v>61897.43</v>
      </c>
      <c r="Y348" s="30">
        <v>61897.43</v>
      </c>
      <c r="Z348" s="57">
        <v>0</v>
      </c>
      <c r="AA348" s="2">
        <f t="shared" si="173"/>
        <v>0</v>
      </c>
      <c r="AB348" s="37">
        <v>0</v>
      </c>
      <c r="AC348" s="37">
        <v>0</v>
      </c>
      <c r="AD348" s="16">
        <f t="shared" si="158"/>
        <v>3094871.57</v>
      </c>
      <c r="AE348" s="2">
        <v>7140</v>
      </c>
      <c r="AF348" s="2">
        <f t="shared" si="174"/>
        <v>3102011.57</v>
      </c>
      <c r="AG348" s="38" t="s">
        <v>486</v>
      </c>
      <c r="AH348" s="29" t="s">
        <v>2143</v>
      </c>
      <c r="AI348" s="118">
        <f>370146.45+51053.55+52313.69+29908.99+27857.94+32148.74+708393.34+31940.49+36538.99+141457.33+48437.29</f>
        <v>1530196.8</v>
      </c>
      <c r="AJ348" s="30">
        <f>56610.59+7808.19+8000.91+4574.32+4260.63+4916.87+108342.52+4885.02+5588.32+21634.65+7408.06</f>
        <v>234030.08000000002</v>
      </c>
    </row>
    <row r="349" spans="1:36" ht="262.5" customHeight="1" x14ac:dyDescent="0.25">
      <c r="A349" s="6">
        <v>346</v>
      </c>
      <c r="B349" s="31">
        <v>126475</v>
      </c>
      <c r="C349" s="11">
        <v>563</v>
      </c>
      <c r="D349" s="9" t="s">
        <v>1638</v>
      </c>
      <c r="E349" s="11" t="s">
        <v>899</v>
      </c>
      <c r="F349" s="11" t="s">
        <v>1019</v>
      </c>
      <c r="G349" s="11" t="s">
        <v>658</v>
      </c>
      <c r="H349" s="11" t="s">
        <v>659</v>
      </c>
      <c r="I349" s="32" t="s">
        <v>2792</v>
      </c>
      <c r="J349" s="25">
        <v>43546</v>
      </c>
      <c r="K349" s="25">
        <v>44917</v>
      </c>
      <c r="L349" s="26">
        <f t="shared" si="171"/>
        <v>84.852695228027258</v>
      </c>
      <c r="M349" s="27">
        <v>7</v>
      </c>
      <c r="N349" s="27" t="s">
        <v>660</v>
      </c>
      <c r="O349" s="27" t="s">
        <v>660</v>
      </c>
      <c r="P349" s="27" t="s">
        <v>174</v>
      </c>
      <c r="Q349" s="11" t="s">
        <v>34</v>
      </c>
      <c r="R349" s="1">
        <f t="shared" si="172"/>
        <v>3141080.5</v>
      </c>
      <c r="S349" s="30">
        <v>3141080.5</v>
      </c>
      <c r="T349" s="57">
        <v>0</v>
      </c>
      <c r="U349" s="1">
        <f t="shared" si="175"/>
        <v>486687.43</v>
      </c>
      <c r="V349" s="42">
        <v>486687.43</v>
      </c>
      <c r="W349" s="87">
        <v>0</v>
      </c>
      <c r="X349" s="1">
        <f t="shared" si="176"/>
        <v>67620.820000000007</v>
      </c>
      <c r="Y349" s="30">
        <v>67620.820000000007</v>
      </c>
      <c r="Z349" s="57">
        <v>0</v>
      </c>
      <c r="AA349" s="2">
        <f t="shared" si="173"/>
        <v>6415.29</v>
      </c>
      <c r="AB349" s="37">
        <v>6415.29</v>
      </c>
      <c r="AC349" s="37">
        <v>0</v>
      </c>
      <c r="AD349" s="16">
        <f t="shared" si="158"/>
        <v>3701804.04</v>
      </c>
      <c r="AE349" s="35">
        <v>0</v>
      </c>
      <c r="AF349" s="2">
        <f t="shared" si="174"/>
        <v>3701804.04</v>
      </c>
      <c r="AG349" s="38" t="s">
        <v>486</v>
      </c>
      <c r="AH349" s="29" t="s">
        <v>3089</v>
      </c>
      <c r="AI349" s="118">
        <f>237041.31+26332.56+366510.56+21875.84+506442.81-2889.74+19264.93+477683.17+18319.98-66.42+467774.13+453723.86+21838.26+19017.05+22582.61+20515.04+22702.65</f>
        <v>2698668.5999999992</v>
      </c>
      <c r="AJ349" s="30">
        <f>37803.32+56054.55+3860.43+77455.96+2889.74+73057.43+3232.92+66.42+71541.91+73093.23+2908.49+3985.15+3620.29+3472.17</f>
        <v>413042.01</v>
      </c>
    </row>
    <row r="350" spans="1:36" ht="262.5" customHeight="1" x14ac:dyDescent="0.25">
      <c r="A350" s="6">
        <v>347</v>
      </c>
      <c r="B350" s="31">
        <v>129622</v>
      </c>
      <c r="C350" s="11">
        <v>660</v>
      </c>
      <c r="D350" s="9" t="s">
        <v>1638</v>
      </c>
      <c r="E350" s="11" t="s">
        <v>1071</v>
      </c>
      <c r="F350" s="11" t="s">
        <v>1158</v>
      </c>
      <c r="G350" s="11" t="s">
        <v>1159</v>
      </c>
      <c r="H350" s="8" t="s">
        <v>151</v>
      </c>
      <c r="I350" s="32" t="s">
        <v>1258</v>
      </c>
      <c r="J350" s="25">
        <v>43658</v>
      </c>
      <c r="K350" s="25">
        <v>44542</v>
      </c>
      <c r="L350" s="26">
        <f t="shared" si="171"/>
        <v>85.000000125030468</v>
      </c>
      <c r="M350" s="27">
        <v>7</v>
      </c>
      <c r="N350" s="27" t="s">
        <v>660</v>
      </c>
      <c r="O350" s="27" t="s">
        <v>1159</v>
      </c>
      <c r="P350" s="27" t="s">
        <v>174</v>
      </c>
      <c r="Q350" s="11" t="s">
        <v>34</v>
      </c>
      <c r="R350" s="1">
        <f t="shared" si="172"/>
        <v>3399171.34</v>
      </c>
      <c r="S350" s="30">
        <v>3399171.34</v>
      </c>
      <c r="T350" s="57">
        <v>0</v>
      </c>
      <c r="U350" s="1">
        <f t="shared" si="175"/>
        <v>519873.26</v>
      </c>
      <c r="V350" s="42">
        <v>519873.26</v>
      </c>
      <c r="W350" s="87">
        <v>0</v>
      </c>
      <c r="X350" s="1">
        <f t="shared" si="176"/>
        <v>79980.5</v>
      </c>
      <c r="Y350" s="30">
        <v>79980.5</v>
      </c>
      <c r="Z350" s="57">
        <v>0</v>
      </c>
      <c r="AA350" s="2">
        <f t="shared" si="173"/>
        <v>0</v>
      </c>
      <c r="AB350" s="37">
        <v>0</v>
      </c>
      <c r="AC350" s="37">
        <v>0</v>
      </c>
      <c r="AD350" s="16">
        <f t="shared" si="158"/>
        <v>3999025.0999999996</v>
      </c>
      <c r="AE350" s="123">
        <v>0</v>
      </c>
      <c r="AF350" s="2">
        <f t="shared" si="174"/>
        <v>3999025.0999999996</v>
      </c>
      <c r="AG350" s="38" t="s">
        <v>857</v>
      </c>
      <c r="AH350" s="29" t="s">
        <v>151</v>
      </c>
      <c r="AI350" s="118">
        <f>343094.2-3035.63-16936.36+315374.33-32128.75+325893.07+273927.11+376480.47+329014.87-11990.79-18859.37-21651.74+387786.37+278117.08-113646.05</f>
        <v>2411438.81</v>
      </c>
      <c r="AJ350" s="30">
        <f>4707.04+14150.24+4556.89+6032.52+3035.63+16936.36+32128.75+99719.83+50066.77+11990.79+18859.37+21651.74+51882.92+33089.42</f>
        <v>368808.26999999996</v>
      </c>
    </row>
    <row r="351" spans="1:36" ht="187.5" customHeight="1" x14ac:dyDescent="0.25">
      <c r="A351" s="6">
        <v>348</v>
      </c>
      <c r="B351" s="31">
        <v>135967</v>
      </c>
      <c r="C351" s="11">
        <v>770</v>
      </c>
      <c r="D351" s="9" t="s">
        <v>1638</v>
      </c>
      <c r="E351" s="24" t="s">
        <v>1441</v>
      </c>
      <c r="F351" s="11" t="s">
        <v>1446</v>
      </c>
      <c r="G351" s="11" t="s">
        <v>1018</v>
      </c>
      <c r="H351" s="8" t="s">
        <v>151</v>
      </c>
      <c r="I351" s="12" t="s">
        <v>2793</v>
      </c>
      <c r="J351" s="25">
        <v>43949</v>
      </c>
      <c r="K351" s="25">
        <v>44923</v>
      </c>
      <c r="L351" s="26">
        <f t="shared" si="171"/>
        <v>85</v>
      </c>
      <c r="M351" s="27">
        <v>7</v>
      </c>
      <c r="N351" s="27" t="s">
        <v>660</v>
      </c>
      <c r="O351" s="27" t="s">
        <v>1018</v>
      </c>
      <c r="P351" s="27" t="s">
        <v>174</v>
      </c>
      <c r="Q351" s="11" t="s">
        <v>34</v>
      </c>
      <c r="R351" s="1">
        <f t="shared" si="172"/>
        <v>848725</v>
      </c>
      <c r="S351" s="30">
        <v>848725</v>
      </c>
      <c r="T351" s="57">
        <v>0</v>
      </c>
      <c r="U351" s="1">
        <f t="shared" si="175"/>
        <v>129805</v>
      </c>
      <c r="V351" s="42">
        <v>129805</v>
      </c>
      <c r="W351" s="87">
        <v>0</v>
      </c>
      <c r="X351" s="1">
        <f t="shared" si="176"/>
        <v>19970</v>
      </c>
      <c r="Y351" s="30">
        <v>19970</v>
      </c>
      <c r="Z351" s="57">
        <v>0</v>
      </c>
      <c r="AA351" s="2">
        <f t="shared" si="173"/>
        <v>0</v>
      </c>
      <c r="AB351" s="37">
        <v>0</v>
      </c>
      <c r="AC351" s="37">
        <v>0</v>
      </c>
      <c r="AD351" s="16">
        <f t="shared" si="158"/>
        <v>998500</v>
      </c>
      <c r="AE351" s="123">
        <v>0</v>
      </c>
      <c r="AF351" s="2">
        <f t="shared" si="174"/>
        <v>998500</v>
      </c>
      <c r="AG351" s="38" t="s">
        <v>486</v>
      </c>
      <c r="AH351" s="29" t="s">
        <v>2461</v>
      </c>
      <c r="AI351" s="118">
        <f>23413.25+1502.08</f>
        <v>24915.33</v>
      </c>
      <c r="AJ351" s="30">
        <f>3580.85+229.73</f>
        <v>3810.58</v>
      </c>
    </row>
    <row r="352" spans="1:36" ht="141.75" x14ac:dyDescent="0.25">
      <c r="A352" s="6">
        <v>349</v>
      </c>
      <c r="B352" s="31">
        <v>136083</v>
      </c>
      <c r="C352" s="11">
        <v>836</v>
      </c>
      <c r="D352" s="9" t="s">
        <v>1638</v>
      </c>
      <c r="E352" s="24" t="s">
        <v>1441</v>
      </c>
      <c r="F352" s="11" t="s">
        <v>1569</v>
      </c>
      <c r="G352" s="11" t="s">
        <v>658</v>
      </c>
      <c r="H352" s="8" t="s">
        <v>151</v>
      </c>
      <c r="I352" s="12" t="s">
        <v>2794</v>
      </c>
      <c r="J352" s="25">
        <v>44018</v>
      </c>
      <c r="K352" s="25">
        <v>44991</v>
      </c>
      <c r="L352" s="26">
        <f t="shared" si="171"/>
        <v>84.999999799611231</v>
      </c>
      <c r="M352" s="27">
        <v>7</v>
      </c>
      <c r="N352" s="27" t="s">
        <v>660</v>
      </c>
      <c r="O352" s="27" t="s">
        <v>1570</v>
      </c>
      <c r="P352" s="27" t="s">
        <v>174</v>
      </c>
      <c r="Q352" s="11" t="s">
        <v>34</v>
      </c>
      <c r="R352" s="1">
        <f t="shared" si="172"/>
        <v>2545052.79</v>
      </c>
      <c r="S352" s="30">
        <v>2545052.79</v>
      </c>
      <c r="T352" s="57">
        <v>0</v>
      </c>
      <c r="U352" s="1">
        <f t="shared" si="175"/>
        <v>389243.37</v>
      </c>
      <c r="V352" s="42">
        <v>389243.37</v>
      </c>
      <c r="W352" s="87">
        <v>0</v>
      </c>
      <c r="X352" s="1">
        <f t="shared" si="176"/>
        <v>59883.6</v>
      </c>
      <c r="Y352" s="30">
        <v>59883.6</v>
      </c>
      <c r="Z352" s="57">
        <v>0</v>
      </c>
      <c r="AA352" s="2">
        <f t="shared" si="173"/>
        <v>0</v>
      </c>
      <c r="AB352" s="37">
        <v>0</v>
      </c>
      <c r="AC352" s="37">
        <v>0</v>
      </c>
      <c r="AD352" s="16">
        <f t="shared" si="158"/>
        <v>2994179.7600000002</v>
      </c>
      <c r="AE352" s="123">
        <v>0</v>
      </c>
      <c r="AF352" s="2">
        <f t="shared" si="174"/>
        <v>2994179.7600000002</v>
      </c>
      <c r="AG352" s="38" t="s">
        <v>486</v>
      </c>
      <c r="AH352" s="29" t="s">
        <v>3312</v>
      </c>
      <c r="AI352" s="118">
        <f>58043.12+42755.85+22887.1+299417.97+96414.24+299417.97+34444.82</f>
        <v>853381.07</v>
      </c>
      <c r="AJ352" s="118">
        <f>8877.18+6539.13+3500.38+60539.04+51061.36</f>
        <v>130517.09000000001</v>
      </c>
    </row>
    <row r="353" spans="1:36" ht="267.75" x14ac:dyDescent="0.25">
      <c r="A353" s="6">
        <v>350</v>
      </c>
      <c r="B353" s="31">
        <v>136328</v>
      </c>
      <c r="C353" s="11">
        <v>844</v>
      </c>
      <c r="D353" s="9" t="s">
        <v>1638</v>
      </c>
      <c r="E353" s="24" t="s">
        <v>1441</v>
      </c>
      <c r="F353" s="11" t="s">
        <v>1579</v>
      </c>
      <c r="G353" s="11" t="s">
        <v>1159</v>
      </c>
      <c r="H353" s="8" t="s">
        <v>151</v>
      </c>
      <c r="I353" s="12" t="s">
        <v>2795</v>
      </c>
      <c r="J353" s="25">
        <v>44020</v>
      </c>
      <c r="K353" s="25">
        <v>44873</v>
      </c>
      <c r="L353" s="26">
        <f t="shared" si="171"/>
        <v>85.000000347346798</v>
      </c>
      <c r="M353" s="27">
        <v>7</v>
      </c>
      <c r="N353" s="27" t="s">
        <v>660</v>
      </c>
      <c r="O353" s="27" t="s">
        <v>1580</v>
      </c>
      <c r="P353" s="27" t="s">
        <v>174</v>
      </c>
      <c r="Q353" s="11" t="s">
        <v>34</v>
      </c>
      <c r="R353" s="1">
        <f t="shared" si="172"/>
        <v>2447121.96</v>
      </c>
      <c r="S353" s="30">
        <v>2447121.96</v>
      </c>
      <c r="T353" s="57">
        <v>0</v>
      </c>
      <c r="U353" s="1">
        <f t="shared" si="175"/>
        <v>374265.7</v>
      </c>
      <c r="V353" s="42">
        <v>374265.7</v>
      </c>
      <c r="W353" s="87">
        <v>0</v>
      </c>
      <c r="X353" s="1">
        <f t="shared" si="176"/>
        <v>57579.34</v>
      </c>
      <c r="Y353" s="30">
        <v>57579.34</v>
      </c>
      <c r="Z353" s="57">
        <v>0</v>
      </c>
      <c r="AA353" s="2">
        <f t="shared" si="173"/>
        <v>0</v>
      </c>
      <c r="AB353" s="37">
        <v>0</v>
      </c>
      <c r="AC353" s="37">
        <v>0</v>
      </c>
      <c r="AD353" s="16">
        <f t="shared" si="158"/>
        <v>2878967</v>
      </c>
      <c r="AE353" s="123">
        <v>0</v>
      </c>
      <c r="AF353" s="2">
        <f t="shared" si="174"/>
        <v>2878967</v>
      </c>
      <c r="AG353" s="38" t="s">
        <v>486</v>
      </c>
      <c r="AH353" s="29" t="s">
        <v>2112</v>
      </c>
      <c r="AI353" s="118">
        <f>265023-6347.44-21588.71+278069.69-6134.44-31408.74+287307.12+1478543.95-4801.82</f>
        <v>2238662.61</v>
      </c>
      <c r="AJ353" s="118">
        <f>6347.44+21588.71+6828.38+6134.44+31408.74+656+226130.24+4801.82</f>
        <v>303895.77</v>
      </c>
    </row>
    <row r="354" spans="1:36" ht="252" x14ac:dyDescent="0.25">
      <c r="A354" s="6">
        <v>351</v>
      </c>
      <c r="B354" s="31">
        <v>117764</v>
      </c>
      <c r="C354" s="11">
        <v>416</v>
      </c>
      <c r="D354" s="32" t="s">
        <v>1639</v>
      </c>
      <c r="E354" s="32" t="s">
        <v>507</v>
      </c>
      <c r="F354" s="11" t="s">
        <v>739</v>
      </c>
      <c r="G354" s="11" t="s">
        <v>740</v>
      </c>
      <c r="H354" s="8" t="s">
        <v>151</v>
      </c>
      <c r="I354" s="124" t="s">
        <v>1260</v>
      </c>
      <c r="J354" s="25">
        <v>43326</v>
      </c>
      <c r="K354" s="25">
        <v>43813</v>
      </c>
      <c r="L354" s="26">
        <f t="shared" ref="L354:L363" si="177">R354/AD354*100</f>
        <v>85.000000298812211</v>
      </c>
      <c r="M354" s="11">
        <v>1</v>
      </c>
      <c r="N354" s="11" t="s">
        <v>411</v>
      </c>
      <c r="O354" s="11" t="s">
        <v>411</v>
      </c>
      <c r="P354" s="11" t="s">
        <v>174</v>
      </c>
      <c r="Q354" s="27" t="s">
        <v>34</v>
      </c>
      <c r="R354" s="1">
        <f t="shared" ref="R354:R363" si="178">S354+T354</f>
        <v>284459.59000000003</v>
      </c>
      <c r="S354" s="30">
        <v>284459.59000000003</v>
      </c>
      <c r="T354" s="57">
        <v>0</v>
      </c>
      <c r="U354" s="1">
        <f t="shared" ref="U354:U363" si="179">V354+W354</f>
        <v>43505.58</v>
      </c>
      <c r="V354" s="42">
        <v>43505.58</v>
      </c>
      <c r="W354" s="87">
        <v>0</v>
      </c>
      <c r="X354" s="30">
        <f t="shared" ref="X354:X363" si="180">Y354+Z354</f>
        <v>6693.17</v>
      </c>
      <c r="Y354" s="30">
        <v>6693.17</v>
      </c>
      <c r="Z354" s="57">
        <v>0</v>
      </c>
      <c r="AA354" s="2">
        <f t="shared" ref="AA354:AA363" si="181">AB354+AC354</f>
        <v>0</v>
      </c>
      <c r="AB354" s="41">
        <v>0</v>
      </c>
      <c r="AC354" s="41">
        <v>0</v>
      </c>
      <c r="AD354" s="16">
        <f t="shared" si="158"/>
        <v>334658.34000000003</v>
      </c>
      <c r="AE354" s="38">
        <v>0</v>
      </c>
      <c r="AF354" s="2">
        <f t="shared" ref="AF354:AF363" si="182">AD354+AE354</f>
        <v>334658.34000000003</v>
      </c>
      <c r="AG354" s="21" t="s">
        <v>857</v>
      </c>
      <c r="AH354" s="38" t="s">
        <v>151</v>
      </c>
      <c r="AI354" s="2">
        <v>113379.81</v>
      </c>
      <c r="AJ354" s="2">
        <v>17340.43</v>
      </c>
    </row>
    <row r="355" spans="1:36" ht="141.75" x14ac:dyDescent="0.25">
      <c r="A355" s="6">
        <v>352</v>
      </c>
      <c r="B355" s="31">
        <v>128093</v>
      </c>
      <c r="C355" s="11">
        <v>626</v>
      </c>
      <c r="D355" s="9" t="s">
        <v>1638</v>
      </c>
      <c r="E355" s="32" t="s">
        <v>1071</v>
      </c>
      <c r="F355" s="11" t="s">
        <v>1176</v>
      </c>
      <c r="G355" s="11" t="s">
        <v>1177</v>
      </c>
      <c r="H355" s="8" t="s">
        <v>151</v>
      </c>
      <c r="I355" s="32" t="s">
        <v>2796</v>
      </c>
      <c r="J355" s="25">
        <v>43670</v>
      </c>
      <c r="K355" s="25">
        <v>44401</v>
      </c>
      <c r="L355" s="26">
        <f t="shared" si="177"/>
        <v>85.000000000000014</v>
      </c>
      <c r="M355" s="11">
        <v>1</v>
      </c>
      <c r="N355" s="11" t="s">
        <v>411</v>
      </c>
      <c r="O355" s="11" t="s">
        <v>411</v>
      </c>
      <c r="P355" s="11" t="s">
        <v>174</v>
      </c>
      <c r="Q355" s="27" t="s">
        <v>34</v>
      </c>
      <c r="R355" s="1">
        <f t="shared" si="178"/>
        <v>2360805.2999999998</v>
      </c>
      <c r="S355" s="30">
        <v>2360805.2999999998</v>
      </c>
      <c r="T355" s="57">
        <v>0</v>
      </c>
      <c r="U355" s="1">
        <f t="shared" si="179"/>
        <v>361064.38</v>
      </c>
      <c r="V355" s="42">
        <v>361064.38</v>
      </c>
      <c r="W355" s="87">
        <v>0</v>
      </c>
      <c r="X355" s="30">
        <f t="shared" si="180"/>
        <v>55548.32</v>
      </c>
      <c r="Y355" s="30">
        <v>55548.32</v>
      </c>
      <c r="Z355" s="57">
        <v>0</v>
      </c>
      <c r="AA355" s="2">
        <f t="shared" si="181"/>
        <v>0</v>
      </c>
      <c r="AB355" s="57">
        <v>0</v>
      </c>
      <c r="AC355" s="57">
        <v>0</v>
      </c>
      <c r="AD355" s="16">
        <f t="shared" si="158"/>
        <v>2777417.9999999995</v>
      </c>
      <c r="AE355" s="38">
        <v>0</v>
      </c>
      <c r="AF355" s="2">
        <f t="shared" si="182"/>
        <v>2777417.9999999995</v>
      </c>
      <c r="AG355" s="21" t="s">
        <v>857</v>
      </c>
      <c r="AH355" s="38"/>
      <c r="AI355" s="2">
        <f>322900.1+67975.35+61200.54+167474.18+120525.39+40857.99+61301.45+1126778.54+128509.74</f>
        <v>2097523.2800000003</v>
      </c>
      <c r="AJ355" s="2">
        <f>49384.72+10396.23+9360.09+25613.7+18433.3+6248.87+9375.51+172330.88+19654.43</f>
        <v>320797.73</v>
      </c>
    </row>
    <row r="356" spans="1:36" ht="252" x14ac:dyDescent="0.25">
      <c r="A356" s="6">
        <v>353</v>
      </c>
      <c r="B356" s="31">
        <v>136121</v>
      </c>
      <c r="C356" s="11">
        <v>778</v>
      </c>
      <c r="D356" s="9" t="s">
        <v>1638</v>
      </c>
      <c r="E356" s="24" t="s">
        <v>1441</v>
      </c>
      <c r="F356" s="11" t="s">
        <v>1506</v>
      </c>
      <c r="G356" s="11" t="s">
        <v>1505</v>
      </c>
      <c r="H356" s="8" t="s">
        <v>151</v>
      </c>
      <c r="I356" s="32" t="s">
        <v>2797</v>
      </c>
      <c r="J356" s="25">
        <v>43973</v>
      </c>
      <c r="K356" s="25">
        <v>44887</v>
      </c>
      <c r="L356" s="26">
        <f t="shared" si="177"/>
        <v>85.000000076716475</v>
      </c>
      <c r="M356" s="11">
        <v>1</v>
      </c>
      <c r="N356" s="11" t="s">
        <v>411</v>
      </c>
      <c r="O356" s="11" t="s">
        <v>1507</v>
      </c>
      <c r="P356" s="27" t="s">
        <v>174</v>
      </c>
      <c r="Q356" s="11" t="s">
        <v>34</v>
      </c>
      <c r="R356" s="1">
        <f t="shared" si="178"/>
        <v>3323927.74</v>
      </c>
      <c r="S356" s="30">
        <v>3323927.74</v>
      </c>
      <c r="T356" s="57">
        <v>0</v>
      </c>
      <c r="U356" s="1">
        <f t="shared" si="179"/>
        <v>508365.42</v>
      </c>
      <c r="V356" s="42">
        <v>508365.42</v>
      </c>
      <c r="W356" s="87">
        <v>0</v>
      </c>
      <c r="X356" s="30">
        <f t="shared" si="180"/>
        <v>78210.06</v>
      </c>
      <c r="Y356" s="30">
        <v>78210.06</v>
      </c>
      <c r="Z356" s="57">
        <v>0</v>
      </c>
      <c r="AA356" s="2">
        <f t="shared" si="181"/>
        <v>0</v>
      </c>
      <c r="AB356" s="57">
        <v>0</v>
      </c>
      <c r="AC356" s="57">
        <v>0</v>
      </c>
      <c r="AD356" s="16">
        <f t="shared" si="158"/>
        <v>3910503.22</v>
      </c>
      <c r="AE356" s="38">
        <v>0</v>
      </c>
      <c r="AF356" s="2">
        <f t="shared" si="182"/>
        <v>3910503.22</v>
      </c>
      <c r="AG356" s="38" t="s">
        <v>486</v>
      </c>
      <c r="AH356" s="38"/>
      <c r="AI356" s="2">
        <f>30250.4+23570.5+87729.35+88902.35+31683.75+39000.55+465310.03+1372386.75+519544.18</f>
        <v>2658377.8600000003</v>
      </c>
      <c r="AJ356" s="2">
        <f>4626.53+3604.9+13417.43+13596.83+4845.75+5964.79+71165.06+209894.44+79459.7</f>
        <v>406575.43</v>
      </c>
    </row>
    <row r="357" spans="1:36" ht="204.75" x14ac:dyDescent="0.25">
      <c r="A357" s="6">
        <v>354</v>
      </c>
      <c r="B357" s="31">
        <v>136253</v>
      </c>
      <c r="C357" s="11">
        <v>786</v>
      </c>
      <c r="D357" s="9" t="s">
        <v>1638</v>
      </c>
      <c r="E357" s="24" t="s">
        <v>1441</v>
      </c>
      <c r="F357" s="11" t="s">
        <v>1514</v>
      </c>
      <c r="G357" s="11" t="s">
        <v>1515</v>
      </c>
      <c r="H357" s="8" t="s">
        <v>151</v>
      </c>
      <c r="I357" s="32" t="s">
        <v>2798</v>
      </c>
      <c r="J357" s="25">
        <v>43977</v>
      </c>
      <c r="K357" s="25">
        <v>45133</v>
      </c>
      <c r="L357" s="26">
        <f t="shared" si="177"/>
        <v>85.000000077356688</v>
      </c>
      <c r="M357" s="11">
        <v>1</v>
      </c>
      <c r="N357" s="11" t="s">
        <v>411</v>
      </c>
      <c r="O357" s="11" t="s">
        <v>1516</v>
      </c>
      <c r="P357" s="27" t="s">
        <v>174</v>
      </c>
      <c r="Q357" s="11" t="s">
        <v>34</v>
      </c>
      <c r="R357" s="1">
        <f t="shared" si="178"/>
        <v>3296418.51</v>
      </c>
      <c r="S357" s="30">
        <v>3296418.51</v>
      </c>
      <c r="T357" s="57">
        <v>0</v>
      </c>
      <c r="U357" s="1">
        <f t="shared" si="179"/>
        <v>504158.13</v>
      </c>
      <c r="V357" s="42">
        <v>504158.13</v>
      </c>
      <c r="W357" s="87">
        <v>0</v>
      </c>
      <c r="X357" s="30">
        <f t="shared" si="180"/>
        <v>77562.78</v>
      </c>
      <c r="Y357" s="30">
        <v>77562.78</v>
      </c>
      <c r="Z357" s="57">
        <v>0</v>
      </c>
      <c r="AA357" s="2">
        <f t="shared" si="181"/>
        <v>0</v>
      </c>
      <c r="AB357" s="57">
        <v>0</v>
      </c>
      <c r="AC357" s="57">
        <v>0</v>
      </c>
      <c r="AD357" s="16">
        <f t="shared" si="158"/>
        <v>3878139.4199999995</v>
      </c>
      <c r="AE357" s="125">
        <v>0</v>
      </c>
      <c r="AF357" s="2">
        <f t="shared" si="182"/>
        <v>3878139.4199999995</v>
      </c>
      <c r="AG357" s="38" t="s">
        <v>486</v>
      </c>
      <c r="AH357" s="38" t="s">
        <v>2460</v>
      </c>
      <c r="AI357" s="2">
        <f>46849.45+76037.6+46900.45+113032.15+305275.8+490082.59</f>
        <v>1078178.04</v>
      </c>
      <c r="AJ357" s="2">
        <f>7165.21+11629.28+7173.01+17287.27+46689.24+74953.81</f>
        <v>164897.82</v>
      </c>
    </row>
    <row r="358" spans="1:36" ht="88.5" customHeight="1" x14ac:dyDescent="0.25">
      <c r="A358" s="6">
        <v>355</v>
      </c>
      <c r="B358" s="31">
        <v>135768</v>
      </c>
      <c r="C358" s="11">
        <v>782</v>
      </c>
      <c r="D358" s="9" t="s">
        <v>1638</v>
      </c>
      <c r="E358" s="24" t="s">
        <v>1441</v>
      </c>
      <c r="F358" s="11" t="s">
        <v>1525</v>
      </c>
      <c r="G358" s="11" t="s">
        <v>740</v>
      </c>
      <c r="H358" s="8" t="s">
        <v>151</v>
      </c>
      <c r="I358" s="32" t="s">
        <v>2799</v>
      </c>
      <c r="J358" s="25">
        <v>43998</v>
      </c>
      <c r="K358" s="25">
        <v>44728</v>
      </c>
      <c r="L358" s="26">
        <f t="shared" si="177"/>
        <v>85.000000630128795</v>
      </c>
      <c r="M358" s="11">
        <v>1</v>
      </c>
      <c r="N358" s="11" t="s">
        <v>411</v>
      </c>
      <c r="O358" s="11" t="s">
        <v>1526</v>
      </c>
      <c r="P358" s="27" t="s">
        <v>174</v>
      </c>
      <c r="Q358" s="11" t="s">
        <v>34</v>
      </c>
      <c r="R358" s="1">
        <f t="shared" si="178"/>
        <v>1011697.93</v>
      </c>
      <c r="S358" s="30">
        <v>1011697.93</v>
      </c>
      <c r="T358" s="57">
        <v>0</v>
      </c>
      <c r="U358" s="1">
        <f t="shared" si="179"/>
        <v>154730.26000000004</v>
      </c>
      <c r="V358" s="42">
        <v>154730.26000000004</v>
      </c>
      <c r="W358" s="87">
        <v>0</v>
      </c>
      <c r="X358" s="30">
        <f t="shared" si="180"/>
        <v>23804.66</v>
      </c>
      <c r="Y358" s="30">
        <v>23804.66</v>
      </c>
      <c r="Z358" s="57">
        <v>0</v>
      </c>
      <c r="AA358" s="2">
        <f t="shared" si="181"/>
        <v>0</v>
      </c>
      <c r="AB358" s="57">
        <v>0</v>
      </c>
      <c r="AC358" s="57">
        <v>0</v>
      </c>
      <c r="AD358" s="16">
        <f t="shared" si="158"/>
        <v>1190232.8500000001</v>
      </c>
      <c r="AE358" s="125">
        <v>0</v>
      </c>
      <c r="AF358" s="2">
        <f t="shared" si="182"/>
        <v>1190232.8500000001</v>
      </c>
      <c r="AG358" s="38" t="s">
        <v>857</v>
      </c>
      <c r="AH358" s="38" t="s">
        <v>1756</v>
      </c>
      <c r="AI358" s="2">
        <f>67626-4071.15+95859.03+134220.99+310066.71+115621.04</f>
        <v>719322.62000000011</v>
      </c>
      <c r="AJ358" s="2">
        <f>4071.15+20309.79+20527.92+47421.97+17683.22</f>
        <v>110014.05</v>
      </c>
    </row>
    <row r="359" spans="1:36" ht="106.5" customHeight="1" x14ac:dyDescent="0.25">
      <c r="A359" s="6">
        <v>356</v>
      </c>
      <c r="B359" s="31">
        <v>136101</v>
      </c>
      <c r="C359" s="11">
        <v>777</v>
      </c>
      <c r="D359" s="9" t="s">
        <v>1638</v>
      </c>
      <c r="E359" s="24" t="s">
        <v>1441</v>
      </c>
      <c r="F359" s="11" t="s">
        <v>1527</v>
      </c>
      <c r="G359" s="11" t="s">
        <v>1528</v>
      </c>
      <c r="H359" s="8" t="s">
        <v>151</v>
      </c>
      <c r="I359" s="32" t="s">
        <v>2800</v>
      </c>
      <c r="J359" s="25">
        <v>43998</v>
      </c>
      <c r="K359" s="25">
        <v>44911</v>
      </c>
      <c r="L359" s="26">
        <f t="shared" si="177"/>
        <v>85.000000076954905</v>
      </c>
      <c r="M359" s="11">
        <v>1</v>
      </c>
      <c r="N359" s="11" t="s">
        <v>411</v>
      </c>
      <c r="O359" s="11" t="s">
        <v>1528</v>
      </c>
      <c r="P359" s="27" t="s">
        <v>174</v>
      </c>
      <c r="Q359" s="11" t="s">
        <v>34</v>
      </c>
      <c r="R359" s="1">
        <f t="shared" si="178"/>
        <v>3313628.46</v>
      </c>
      <c r="S359" s="30">
        <v>3313628.46</v>
      </c>
      <c r="T359" s="57">
        <v>0</v>
      </c>
      <c r="U359" s="1">
        <f t="shared" si="179"/>
        <v>506790.24</v>
      </c>
      <c r="V359" s="42">
        <v>506790.24</v>
      </c>
      <c r="W359" s="87">
        <v>0</v>
      </c>
      <c r="X359" s="30">
        <f t="shared" si="180"/>
        <v>77967.72</v>
      </c>
      <c r="Y359" s="30">
        <v>77967.72</v>
      </c>
      <c r="Z359" s="57">
        <v>0</v>
      </c>
      <c r="AA359" s="2">
        <f t="shared" si="181"/>
        <v>0</v>
      </c>
      <c r="AB359" s="57">
        <v>0</v>
      </c>
      <c r="AC359" s="57">
        <v>0</v>
      </c>
      <c r="AD359" s="16">
        <f t="shared" si="158"/>
        <v>3898386.4200000004</v>
      </c>
      <c r="AE359" s="125">
        <v>0</v>
      </c>
      <c r="AF359" s="2">
        <f t="shared" si="182"/>
        <v>3898386.4200000004</v>
      </c>
      <c r="AG359" s="38" t="s">
        <v>486</v>
      </c>
      <c r="AH359" s="38"/>
      <c r="AI359" s="2">
        <f>61251+21093.6+105678.8+141468.39+444812.31+243407.36+1108891.27</f>
        <v>2126602.73</v>
      </c>
      <c r="AJ359" s="2">
        <f>9367.8+3226.08+16162.64+21636.34+68030.12+37227.01+169595.14</f>
        <v>325245.13</v>
      </c>
    </row>
    <row r="360" spans="1:36" ht="106.5" customHeight="1" x14ac:dyDescent="0.25">
      <c r="A360" s="6">
        <v>357</v>
      </c>
      <c r="B360" s="31">
        <v>155184</v>
      </c>
      <c r="C360" s="11">
        <v>1238</v>
      </c>
      <c r="D360" s="9" t="s">
        <v>1638</v>
      </c>
      <c r="E360" s="24" t="s">
        <v>2012</v>
      </c>
      <c r="F360" s="11" t="s">
        <v>2099</v>
      </c>
      <c r="G360" s="11" t="s">
        <v>1177</v>
      </c>
      <c r="H360" s="8" t="s">
        <v>151</v>
      </c>
      <c r="I360" s="32" t="s">
        <v>2100</v>
      </c>
      <c r="J360" s="25">
        <v>44655</v>
      </c>
      <c r="K360" s="25">
        <v>45142</v>
      </c>
      <c r="L360" s="26">
        <f t="shared" si="177"/>
        <v>85.000000075041726</v>
      </c>
      <c r="M360" s="11">
        <v>1</v>
      </c>
      <c r="N360" s="11" t="s">
        <v>411</v>
      </c>
      <c r="O360" s="11" t="s">
        <v>411</v>
      </c>
      <c r="P360" s="27" t="s">
        <v>174</v>
      </c>
      <c r="Q360" s="11" t="s">
        <v>34</v>
      </c>
      <c r="R360" s="1">
        <f t="shared" si="178"/>
        <v>3398109.62</v>
      </c>
      <c r="S360" s="30">
        <v>3398109.62</v>
      </c>
      <c r="T360" s="57">
        <v>0</v>
      </c>
      <c r="U360" s="1">
        <f t="shared" si="179"/>
        <v>519710.88</v>
      </c>
      <c r="V360" s="42">
        <v>519710.88</v>
      </c>
      <c r="W360" s="87">
        <v>0</v>
      </c>
      <c r="X360" s="30">
        <f t="shared" si="180"/>
        <v>79955.520000000004</v>
      </c>
      <c r="Y360" s="30">
        <v>79955.520000000004</v>
      </c>
      <c r="Z360" s="57">
        <v>0</v>
      </c>
      <c r="AA360" s="2">
        <f t="shared" si="181"/>
        <v>0</v>
      </c>
      <c r="AB360" s="57">
        <v>0</v>
      </c>
      <c r="AC360" s="57">
        <v>0</v>
      </c>
      <c r="AD360" s="16">
        <f t="shared" si="158"/>
        <v>3997776.02</v>
      </c>
      <c r="AE360" s="125">
        <v>0</v>
      </c>
      <c r="AF360" s="2">
        <f t="shared" si="182"/>
        <v>3997776.02</v>
      </c>
      <c r="AG360" s="38" t="s">
        <v>486</v>
      </c>
      <c r="AH360" s="38"/>
      <c r="AI360" s="2">
        <v>22211.58</v>
      </c>
      <c r="AJ360" s="2">
        <v>3397.06</v>
      </c>
    </row>
    <row r="361" spans="1:36" ht="106.5" customHeight="1" x14ac:dyDescent="0.25">
      <c r="A361" s="6">
        <v>358</v>
      </c>
      <c r="B361" s="31">
        <v>154853</v>
      </c>
      <c r="C361" s="11">
        <v>1218</v>
      </c>
      <c r="D361" s="9" t="s">
        <v>1638</v>
      </c>
      <c r="E361" s="24" t="s">
        <v>2012</v>
      </c>
      <c r="F361" s="11" t="s">
        <v>2108</v>
      </c>
      <c r="G361" s="11" t="s">
        <v>1505</v>
      </c>
      <c r="H361" s="8" t="s">
        <v>151</v>
      </c>
      <c r="I361" s="32" t="s">
        <v>2801</v>
      </c>
      <c r="J361" s="25">
        <v>44658</v>
      </c>
      <c r="K361" s="25">
        <v>45145</v>
      </c>
      <c r="L361" s="26">
        <f t="shared" si="177"/>
        <v>85.000000403724087</v>
      </c>
      <c r="M361" s="11">
        <v>1</v>
      </c>
      <c r="N361" s="11" t="s">
        <v>411</v>
      </c>
      <c r="O361" s="11" t="s">
        <v>1507</v>
      </c>
      <c r="P361" s="27" t="s">
        <v>174</v>
      </c>
      <c r="Q361" s="11" t="s">
        <v>34</v>
      </c>
      <c r="R361" s="1">
        <f t="shared" si="178"/>
        <v>2842287.72</v>
      </c>
      <c r="S361" s="30">
        <v>2842287.72</v>
      </c>
      <c r="T361" s="57">
        <v>0</v>
      </c>
      <c r="U361" s="1">
        <f t="shared" si="179"/>
        <v>434702.8</v>
      </c>
      <c r="V361" s="42">
        <v>434702.8</v>
      </c>
      <c r="W361" s="87">
        <v>0</v>
      </c>
      <c r="X361" s="30">
        <f t="shared" si="180"/>
        <v>66877.37</v>
      </c>
      <c r="Y361" s="30">
        <v>66877.37</v>
      </c>
      <c r="Z361" s="57">
        <v>0</v>
      </c>
      <c r="AA361" s="2">
        <f t="shared" si="181"/>
        <v>0</v>
      </c>
      <c r="AB361" s="57">
        <v>0</v>
      </c>
      <c r="AC361" s="57">
        <v>0</v>
      </c>
      <c r="AD361" s="16">
        <f t="shared" si="158"/>
        <v>3343867.89</v>
      </c>
      <c r="AE361" s="125">
        <v>0</v>
      </c>
      <c r="AF361" s="2">
        <f t="shared" si="182"/>
        <v>3343867.89</v>
      </c>
      <c r="AG361" s="38" t="s">
        <v>486</v>
      </c>
      <c r="AH361" s="38"/>
      <c r="AI361" s="2">
        <v>0</v>
      </c>
      <c r="AJ361" s="2">
        <v>0</v>
      </c>
    </row>
    <row r="362" spans="1:36" ht="106.5" customHeight="1" x14ac:dyDescent="0.25">
      <c r="A362" s="6">
        <v>359</v>
      </c>
      <c r="B362" s="31">
        <v>154851</v>
      </c>
      <c r="C362" s="11">
        <v>1221</v>
      </c>
      <c r="D362" s="9" t="s">
        <v>1638</v>
      </c>
      <c r="E362" s="24" t="s">
        <v>2012</v>
      </c>
      <c r="F362" s="11" t="s">
        <v>2120</v>
      </c>
      <c r="G362" s="11" t="s">
        <v>1528</v>
      </c>
      <c r="H362" s="8" t="s">
        <v>151</v>
      </c>
      <c r="I362" s="32" t="s">
        <v>2802</v>
      </c>
      <c r="J362" s="25">
        <v>44662</v>
      </c>
      <c r="K362" s="25">
        <v>45149</v>
      </c>
      <c r="L362" s="26">
        <f t="shared" si="177"/>
        <v>84.999999999999986</v>
      </c>
      <c r="M362" s="11">
        <v>1</v>
      </c>
      <c r="N362" s="11" t="s">
        <v>411</v>
      </c>
      <c r="O362" s="11" t="s">
        <v>1528</v>
      </c>
      <c r="P362" s="27" t="s">
        <v>174</v>
      </c>
      <c r="Q362" s="11" t="s">
        <v>34</v>
      </c>
      <c r="R362" s="1">
        <f t="shared" si="178"/>
        <v>2840666.51</v>
      </c>
      <c r="S362" s="30">
        <v>2840666.51</v>
      </c>
      <c r="T362" s="57">
        <v>0</v>
      </c>
      <c r="U362" s="1">
        <f t="shared" si="179"/>
        <v>434454.89</v>
      </c>
      <c r="V362" s="42">
        <v>434454.89</v>
      </c>
      <c r="W362" s="87">
        <v>0</v>
      </c>
      <c r="X362" s="30">
        <f t="shared" si="180"/>
        <v>66839.199999999997</v>
      </c>
      <c r="Y362" s="30">
        <v>66839.199999999997</v>
      </c>
      <c r="Z362" s="57">
        <v>0</v>
      </c>
      <c r="AA362" s="2">
        <f t="shared" si="181"/>
        <v>0</v>
      </c>
      <c r="AB362" s="57">
        <v>0</v>
      </c>
      <c r="AC362" s="57">
        <v>0</v>
      </c>
      <c r="AD362" s="16">
        <f t="shared" si="158"/>
        <v>3341960.6</v>
      </c>
      <c r="AE362" s="125">
        <v>0</v>
      </c>
      <c r="AF362" s="2">
        <f t="shared" si="182"/>
        <v>3341960.6</v>
      </c>
      <c r="AG362" s="38" t="s">
        <v>486</v>
      </c>
      <c r="AH362" s="38"/>
      <c r="AI362" s="2">
        <v>0</v>
      </c>
      <c r="AJ362" s="2">
        <v>0</v>
      </c>
    </row>
    <row r="363" spans="1:36" ht="106.5" customHeight="1" x14ac:dyDescent="0.25">
      <c r="A363" s="6">
        <v>360</v>
      </c>
      <c r="B363" s="31">
        <v>155160</v>
      </c>
      <c r="C363" s="11">
        <v>1232</v>
      </c>
      <c r="D363" s="9" t="s">
        <v>1638</v>
      </c>
      <c r="E363" s="24" t="s">
        <v>2012</v>
      </c>
      <c r="F363" s="11" t="s">
        <v>2236</v>
      </c>
      <c r="G363" s="11" t="s">
        <v>1515</v>
      </c>
      <c r="H363" s="8" t="s">
        <v>151</v>
      </c>
      <c r="I363" s="32" t="s">
        <v>2803</v>
      </c>
      <c r="J363" s="25">
        <v>44714</v>
      </c>
      <c r="K363" s="25">
        <v>45201</v>
      </c>
      <c r="L363" s="26">
        <f t="shared" si="177"/>
        <v>84.999999866459859</v>
      </c>
      <c r="M363" s="11">
        <v>1</v>
      </c>
      <c r="N363" s="11" t="s">
        <v>1516</v>
      </c>
      <c r="O363" s="11" t="s">
        <v>1528</v>
      </c>
      <c r="P363" s="27" t="s">
        <v>174</v>
      </c>
      <c r="Q363" s="11" t="s">
        <v>34</v>
      </c>
      <c r="R363" s="1">
        <f t="shared" si="178"/>
        <v>2864307.36</v>
      </c>
      <c r="S363" s="30">
        <v>2864307.36</v>
      </c>
      <c r="T363" s="57">
        <v>0</v>
      </c>
      <c r="U363" s="1">
        <f t="shared" si="179"/>
        <v>438070.54</v>
      </c>
      <c r="V363" s="42">
        <v>438070.54</v>
      </c>
      <c r="W363" s="87">
        <v>0</v>
      </c>
      <c r="X363" s="30">
        <f t="shared" si="180"/>
        <v>67395.47</v>
      </c>
      <c r="Y363" s="30">
        <v>67395.47</v>
      </c>
      <c r="Z363" s="57">
        <v>0</v>
      </c>
      <c r="AA363" s="2">
        <f t="shared" si="181"/>
        <v>0</v>
      </c>
      <c r="AB363" s="57">
        <v>0</v>
      </c>
      <c r="AC363" s="57">
        <v>0</v>
      </c>
      <c r="AD363" s="16">
        <f t="shared" si="158"/>
        <v>3369773.37</v>
      </c>
      <c r="AE363" s="125">
        <v>0</v>
      </c>
      <c r="AF363" s="2">
        <f t="shared" si="182"/>
        <v>3369773.37</v>
      </c>
      <c r="AG363" s="38" t="s">
        <v>486</v>
      </c>
      <c r="AH363" s="38"/>
      <c r="AI363" s="2">
        <v>0</v>
      </c>
      <c r="AJ363" s="2">
        <v>0</v>
      </c>
    </row>
    <row r="364" spans="1:36" ht="159" customHeight="1" x14ac:dyDescent="0.25">
      <c r="A364" s="6">
        <v>361</v>
      </c>
      <c r="B364" s="31">
        <v>110909</v>
      </c>
      <c r="C364" s="11">
        <v>115</v>
      </c>
      <c r="D364" s="9" t="s">
        <v>1638</v>
      </c>
      <c r="E364" s="24" t="s">
        <v>277</v>
      </c>
      <c r="F364" s="27" t="s">
        <v>351</v>
      </c>
      <c r="G364" s="11" t="s">
        <v>350</v>
      </c>
      <c r="H364" s="8" t="s">
        <v>151</v>
      </c>
      <c r="I364" s="12" t="s">
        <v>352</v>
      </c>
      <c r="J364" s="25">
        <v>43214</v>
      </c>
      <c r="K364" s="25">
        <v>43762</v>
      </c>
      <c r="L364" s="26">
        <f t="shared" ref="L364:L373" si="183">R364/AD364*100</f>
        <v>85.000000000000014</v>
      </c>
      <c r="M364" s="11">
        <v>3</v>
      </c>
      <c r="N364" s="11" t="s">
        <v>353</v>
      </c>
      <c r="O364" s="11" t="s">
        <v>362</v>
      </c>
      <c r="P364" s="27" t="s">
        <v>174</v>
      </c>
      <c r="Q364" s="11" t="s">
        <v>34</v>
      </c>
      <c r="R364" s="1">
        <f t="shared" ref="R364:R373" si="184">S364+T364</f>
        <v>349633.9</v>
      </c>
      <c r="S364" s="57">
        <v>349633.9</v>
      </c>
      <c r="T364" s="57">
        <v>0</v>
      </c>
      <c r="U364" s="1">
        <f t="shared" ref="U364:U373" si="185">V364+W364</f>
        <v>53473.42</v>
      </c>
      <c r="V364" s="87">
        <v>53473.42</v>
      </c>
      <c r="W364" s="87">
        <v>0</v>
      </c>
      <c r="X364" s="1">
        <f t="shared" ref="X364:X373" si="186">Y364+Z364</f>
        <v>8226.68</v>
      </c>
      <c r="Y364" s="57">
        <v>8226.68</v>
      </c>
      <c r="Z364" s="57">
        <v>0</v>
      </c>
      <c r="AA364" s="2">
        <f t="shared" ref="AA364:AA373" si="187">AB364+AC364</f>
        <v>0</v>
      </c>
      <c r="AB364" s="126">
        <v>0</v>
      </c>
      <c r="AC364" s="126">
        <v>0</v>
      </c>
      <c r="AD364" s="16">
        <f t="shared" si="158"/>
        <v>411334</v>
      </c>
      <c r="AE364" s="2">
        <v>0</v>
      </c>
      <c r="AF364" s="2">
        <f t="shared" ref="AF364:AF373" si="188">AD364+AE364</f>
        <v>411334</v>
      </c>
      <c r="AG364" s="21" t="s">
        <v>857</v>
      </c>
      <c r="AH364" s="29" t="s">
        <v>1222</v>
      </c>
      <c r="AI364" s="30">
        <v>288582.45</v>
      </c>
      <c r="AJ364" s="30">
        <v>44136.13</v>
      </c>
    </row>
    <row r="365" spans="1:36" ht="204.75" x14ac:dyDescent="0.25">
      <c r="A365" s="6">
        <v>362</v>
      </c>
      <c r="B365" s="31">
        <v>126118</v>
      </c>
      <c r="C365" s="11">
        <v>530</v>
      </c>
      <c r="D365" s="9" t="s">
        <v>1638</v>
      </c>
      <c r="E365" s="24" t="s">
        <v>899</v>
      </c>
      <c r="F365" s="27" t="s">
        <v>934</v>
      </c>
      <c r="G365" s="27" t="s">
        <v>935</v>
      </c>
      <c r="H365" s="8" t="s">
        <v>151</v>
      </c>
      <c r="I365" s="12" t="s">
        <v>2804</v>
      </c>
      <c r="J365" s="25">
        <v>43447</v>
      </c>
      <c r="K365" s="25">
        <v>45273</v>
      </c>
      <c r="L365" s="26">
        <f t="shared" si="183"/>
        <v>85.000001240215624</v>
      </c>
      <c r="M365" s="40">
        <v>3</v>
      </c>
      <c r="N365" s="11" t="s">
        <v>353</v>
      </c>
      <c r="O365" s="11" t="s">
        <v>1575</v>
      </c>
      <c r="P365" s="27" t="s">
        <v>174</v>
      </c>
      <c r="Q365" s="11" t="s">
        <v>34</v>
      </c>
      <c r="R365" s="1">
        <f t="shared" si="184"/>
        <v>548291.76</v>
      </c>
      <c r="S365" s="57">
        <v>548291.76</v>
      </c>
      <c r="T365" s="57">
        <v>0</v>
      </c>
      <c r="U365" s="1">
        <f t="shared" si="185"/>
        <v>83856.38</v>
      </c>
      <c r="V365" s="87">
        <v>83856.38</v>
      </c>
      <c r="W365" s="87">
        <v>0</v>
      </c>
      <c r="X365" s="1">
        <f t="shared" si="186"/>
        <v>12900.98</v>
      </c>
      <c r="Y365" s="57">
        <v>12900.98</v>
      </c>
      <c r="Z365" s="57">
        <v>0</v>
      </c>
      <c r="AA365" s="2">
        <f t="shared" si="187"/>
        <v>0</v>
      </c>
      <c r="AB365" s="2">
        <v>0</v>
      </c>
      <c r="AC365" s="2">
        <v>0</v>
      </c>
      <c r="AD365" s="16">
        <f t="shared" si="158"/>
        <v>645049.12</v>
      </c>
      <c r="AE365" s="35"/>
      <c r="AF365" s="2">
        <f t="shared" si="188"/>
        <v>645049.12</v>
      </c>
      <c r="AG365" s="38" t="s">
        <v>486</v>
      </c>
      <c r="AH365" s="29" t="s">
        <v>2369</v>
      </c>
      <c r="AI365" s="30">
        <f>92794.07+26620.14+13310.07+13310.07</f>
        <v>146034.35</v>
      </c>
      <c r="AJ365" s="30">
        <f>14192.04+4071.32+2035.66+2035.66</f>
        <v>22334.68</v>
      </c>
    </row>
    <row r="366" spans="1:36" ht="204.75" x14ac:dyDescent="0.25">
      <c r="A366" s="6">
        <v>363</v>
      </c>
      <c r="B366" s="31">
        <v>129759</v>
      </c>
      <c r="C366" s="11">
        <v>675</v>
      </c>
      <c r="D366" s="9" t="s">
        <v>1638</v>
      </c>
      <c r="E366" s="24" t="s">
        <v>1071</v>
      </c>
      <c r="F366" s="27" t="s">
        <v>1101</v>
      </c>
      <c r="G366" s="27" t="s">
        <v>1658</v>
      </c>
      <c r="H366" s="8" t="s">
        <v>151</v>
      </c>
      <c r="I366" s="12" t="s">
        <v>1102</v>
      </c>
      <c r="J366" s="25">
        <v>43622</v>
      </c>
      <c r="K366" s="25">
        <v>44261</v>
      </c>
      <c r="L366" s="26">
        <f t="shared" si="183"/>
        <v>85.000000231937065</v>
      </c>
      <c r="M366" s="40">
        <v>3</v>
      </c>
      <c r="N366" s="11" t="s">
        <v>353</v>
      </c>
      <c r="O366" s="11" t="s">
        <v>1658</v>
      </c>
      <c r="P366" s="27" t="s">
        <v>174</v>
      </c>
      <c r="Q366" s="11" t="s">
        <v>34</v>
      </c>
      <c r="R366" s="1">
        <f t="shared" si="184"/>
        <v>3298308.61</v>
      </c>
      <c r="S366" s="57">
        <v>3298308.61</v>
      </c>
      <c r="T366" s="57">
        <v>0</v>
      </c>
      <c r="U366" s="127">
        <f t="shared" si="185"/>
        <v>504447.19</v>
      </c>
      <c r="V366" s="87">
        <v>504447.19</v>
      </c>
      <c r="W366" s="87">
        <v>0</v>
      </c>
      <c r="X366" s="1">
        <f t="shared" si="186"/>
        <v>77607.259999999995</v>
      </c>
      <c r="Y366" s="57">
        <v>77607.259999999995</v>
      </c>
      <c r="Z366" s="57">
        <v>0</v>
      </c>
      <c r="AA366" s="2">
        <f t="shared" si="187"/>
        <v>0</v>
      </c>
      <c r="AB366" s="2">
        <v>0</v>
      </c>
      <c r="AC366" s="2">
        <v>0</v>
      </c>
      <c r="AD366" s="16">
        <f t="shared" si="158"/>
        <v>3880363.0599999996</v>
      </c>
      <c r="AE366" s="35"/>
      <c r="AF366" s="2">
        <f t="shared" si="188"/>
        <v>3880363.0599999996</v>
      </c>
      <c r="AG366" s="38" t="s">
        <v>857</v>
      </c>
      <c r="AH366" s="35"/>
      <c r="AI366" s="30">
        <f>350262.31-13137.88+459904.21+1860571.74-4239.22</f>
        <v>2653361.1599999997</v>
      </c>
      <c r="AJ366" s="30">
        <f>13345.6+16884.01+7544.38+13137.88+70338.29+284558.03</f>
        <v>405808.19</v>
      </c>
    </row>
    <row r="367" spans="1:36" ht="157.5" x14ac:dyDescent="0.25">
      <c r="A367" s="6">
        <v>364</v>
      </c>
      <c r="B367" s="31">
        <v>129754</v>
      </c>
      <c r="C367" s="11">
        <v>674</v>
      </c>
      <c r="D367" s="9" t="s">
        <v>1638</v>
      </c>
      <c r="E367" s="24" t="s">
        <v>1071</v>
      </c>
      <c r="F367" s="27" t="s">
        <v>1108</v>
      </c>
      <c r="G367" s="27" t="s">
        <v>935</v>
      </c>
      <c r="H367" s="8" t="s">
        <v>151</v>
      </c>
      <c r="I367" s="12" t="s">
        <v>1109</v>
      </c>
      <c r="J367" s="25">
        <v>43630</v>
      </c>
      <c r="K367" s="25">
        <v>45091</v>
      </c>
      <c r="L367" s="26">
        <f t="shared" si="183"/>
        <v>85.000000138264667</v>
      </c>
      <c r="M367" s="40">
        <v>3</v>
      </c>
      <c r="N367" s="11" t="s">
        <v>353</v>
      </c>
      <c r="O367" s="11" t="s">
        <v>1575</v>
      </c>
      <c r="P367" s="27" t="s">
        <v>174</v>
      </c>
      <c r="Q367" s="11" t="s">
        <v>34</v>
      </c>
      <c r="R367" s="1">
        <f t="shared" si="184"/>
        <v>2459052.1800000002</v>
      </c>
      <c r="S367" s="57">
        <v>2459052.1800000002</v>
      </c>
      <c r="T367" s="128">
        <v>0</v>
      </c>
      <c r="U367" s="1">
        <f t="shared" si="185"/>
        <v>376090.33</v>
      </c>
      <c r="V367" s="87">
        <v>376090.33</v>
      </c>
      <c r="W367" s="87">
        <v>0</v>
      </c>
      <c r="X367" s="1">
        <f t="shared" si="186"/>
        <v>57860.05</v>
      </c>
      <c r="Y367" s="57">
        <v>57860.05</v>
      </c>
      <c r="Z367" s="57">
        <v>0</v>
      </c>
      <c r="AA367" s="2">
        <f t="shared" si="187"/>
        <v>0</v>
      </c>
      <c r="AB367" s="2">
        <v>0</v>
      </c>
      <c r="AC367" s="2">
        <v>0</v>
      </c>
      <c r="AD367" s="16">
        <f t="shared" si="158"/>
        <v>2893002.56</v>
      </c>
      <c r="AE367" s="35">
        <v>0</v>
      </c>
      <c r="AF367" s="2">
        <f t="shared" si="188"/>
        <v>2893002.56</v>
      </c>
      <c r="AG367" s="38" t="s">
        <v>486</v>
      </c>
      <c r="AH367" s="38" t="s">
        <v>1926</v>
      </c>
      <c r="AI367" s="30">
        <f>102987.97+61200+27715.54+30570.65+26244.97+42590.63+23491.6</f>
        <v>314801.36</v>
      </c>
      <c r="AJ367" s="30">
        <f>15751.1+9360+4238.85+4675.51+4013.94+6513.85+3592.84</f>
        <v>48146.09</v>
      </c>
    </row>
    <row r="368" spans="1:36" ht="336.75" customHeight="1" x14ac:dyDescent="0.25">
      <c r="A368" s="6">
        <v>365</v>
      </c>
      <c r="B368" s="31">
        <v>135765</v>
      </c>
      <c r="C368" s="11">
        <v>821</v>
      </c>
      <c r="D368" s="9" t="s">
        <v>1638</v>
      </c>
      <c r="E368" s="24" t="s">
        <v>1441</v>
      </c>
      <c r="F368" s="27" t="s">
        <v>1574</v>
      </c>
      <c r="G368" s="27" t="s">
        <v>1575</v>
      </c>
      <c r="H368" s="11" t="s">
        <v>952</v>
      </c>
      <c r="I368" s="12" t="s">
        <v>1576</v>
      </c>
      <c r="J368" s="25">
        <v>44020</v>
      </c>
      <c r="K368" s="25">
        <v>44873</v>
      </c>
      <c r="L368" s="26">
        <f t="shared" si="183"/>
        <v>84.714058426963518</v>
      </c>
      <c r="M368" s="40">
        <v>3</v>
      </c>
      <c r="N368" s="11" t="s">
        <v>353</v>
      </c>
      <c r="O368" s="11" t="s">
        <v>1575</v>
      </c>
      <c r="P368" s="27" t="s">
        <v>174</v>
      </c>
      <c r="Q368" s="11" t="s">
        <v>34</v>
      </c>
      <c r="R368" s="1">
        <f t="shared" si="184"/>
        <v>3306220.95</v>
      </c>
      <c r="S368" s="57">
        <v>3306220.95</v>
      </c>
      <c r="T368" s="128">
        <v>0</v>
      </c>
      <c r="U368" s="1">
        <f t="shared" si="185"/>
        <v>518523.83</v>
      </c>
      <c r="V368" s="87">
        <v>518523.83</v>
      </c>
      <c r="W368" s="87">
        <v>0</v>
      </c>
      <c r="X368" s="1">
        <f t="shared" si="186"/>
        <v>64926.92</v>
      </c>
      <c r="Y368" s="57">
        <v>64926.92</v>
      </c>
      <c r="Z368" s="57">
        <v>0</v>
      </c>
      <c r="AA368" s="2">
        <f t="shared" si="187"/>
        <v>13129.1</v>
      </c>
      <c r="AB368" s="2">
        <v>13129.1</v>
      </c>
      <c r="AC368" s="2">
        <v>0</v>
      </c>
      <c r="AD368" s="16">
        <f t="shared" si="158"/>
        <v>3902800.8000000003</v>
      </c>
      <c r="AE368" s="42">
        <v>97199.2</v>
      </c>
      <c r="AF368" s="2">
        <f t="shared" si="188"/>
        <v>4000000.0000000005</v>
      </c>
      <c r="AG368" s="38" t="s">
        <v>486</v>
      </c>
      <c r="AH368" s="35"/>
      <c r="AI368" s="30">
        <f>390280.08+1188911.03+27628.67+287471.15</f>
        <v>1894290.9300000002</v>
      </c>
      <c r="AJ368" s="30">
        <f>181833.45+39447.43+61152.18</f>
        <v>282433.06</v>
      </c>
    </row>
    <row r="369" spans="1:36" ht="141.75" x14ac:dyDescent="0.25">
      <c r="A369" s="6">
        <v>366</v>
      </c>
      <c r="B369" s="31">
        <v>152202</v>
      </c>
      <c r="C369" s="11">
        <v>1110</v>
      </c>
      <c r="D369" s="9" t="s">
        <v>1639</v>
      </c>
      <c r="E369" s="24" t="s">
        <v>1801</v>
      </c>
      <c r="F369" s="27" t="s">
        <v>1845</v>
      </c>
      <c r="G369" s="27" t="s">
        <v>1658</v>
      </c>
      <c r="H369" s="8" t="s">
        <v>151</v>
      </c>
      <c r="I369" s="12" t="s">
        <v>1846</v>
      </c>
      <c r="J369" s="25">
        <v>44498</v>
      </c>
      <c r="K369" s="25">
        <v>44863</v>
      </c>
      <c r="L369" s="26">
        <f t="shared" si="183"/>
        <v>84.999999252634424</v>
      </c>
      <c r="M369" s="40">
        <v>3</v>
      </c>
      <c r="N369" s="11" t="s">
        <v>353</v>
      </c>
      <c r="O369" s="11" t="s">
        <v>1658</v>
      </c>
      <c r="P369" s="27" t="s">
        <v>174</v>
      </c>
      <c r="Q369" s="11" t="s">
        <v>34</v>
      </c>
      <c r="R369" s="1">
        <f t="shared" si="184"/>
        <v>341198.48</v>
      </c>
      <c r="S369" s="57">
        <v>341198.48</v>
      </c>
      <c r="T369" s="128">
        <v>0</v>
      </c>
      <c r="U369" s="1">
        <f t="shared" si="185"/>
        <v>52183.3</v>
      </c>
      <c r="V369" s="87">
        <v>52183.3</v>
      </c>
      <c r="W369" s="87">
        <v>0</v>
      </c>
      <c r="X369" s="1">
        <f t="shared" si="186"/>
        <v>8028.2</v>
      </c>
      <c r="Y369" s="57">
        <v>8028.2</v>
      </c>
      <c r="Z369" s="57">
        <v>0</v>
      </c>
      <c r="AA369" s="2">
        <f t="shared" si="187"/>
        <v>0</v>
      </c>
      <c r="AB369" s="2">
        <v>0</v>
      </c>
      <c r="AC369" s="2">
        <v>0</v>
      </c>
      <c r="AD369" s="16">
        <f t="shared" si="158"/>
        <v>401409.98</v>
      </c>
      <c r="AE369" s="42">
        <v>0</v>
      </c>
      <c r="AF369" s="2">
        <f t="shared" si="188"/>
        <v>401409.98</v>
      </c>
      <c r="AG369" s="38" t="s">
        <v>857</v>
      </c>
      <c r="AH369" s="35"/>
      <c r="AI369" s="30">
        <f>15724.15+34569.5+56187.55</f>
        <v>106481.20000000001</v>
      </c>
      <c r="AJ369" s="30">
        <f>2404.87+5287.1+8593.39</f>
        <v>16285.36</v>
      </c>
    </row>
    <row r="370" spans="1:36" ht="157.5" x14ac:dyDescent="0.25">
      <c r="A370" s="6">
        <v>367</v>
      </c>
      <c r="B370" s="31">
        <v>151850</v>
      </c>
      <c r="C370" s="11">
        <v>1114</v>
      </c>
      <c r="D370" s="9" t="s">
        <v>1639</v>
      </c>
      <c r="E370" s="24" t="s">
        <v>1801</v>
      </c>
      <c r="F370" s="27" t="s">
        <v>1964</v>
      </c>
      <c r="G370" s="27" t="s">
        <v>935</v>
      </c>
      <c r="H370" s="11" t="s">
        <v>1965</v>
      </c>
      <c r="I370" s="12" t="s">
        <v>1966</v>
      </c>
      <c r="J370" s="25">
        <v>44560</v>
      </c>
      <c r="K370" s="25">
        <v>45046</v>
      </c>
      <c r="L370" s="26">
        <f t="shared" si="183"/>
        <v>85.000001831169087</v>
      </c>
      <c r="M370" s="40">
        <v>3</v>
      </c>
      <c r="N370" s="11" t="s">
        <v>353</v>
      </c>
      <c r="O370" s="11" t="s">
        <v>1575</v>
      </c>
      <c r="P370" s="27" t="s">
        <v>174</v>
      </c>
      <c r="Q370" s="11" t="s">
        <v>34</v>
      </c>
      <c r="R370" s="1">
        <f t="shared" si="184"/>
        <v>255301.39</v>
      </c>
      <c r="S370" s="57">
        <v>255301.39</v>
      </c>
      <c r="T370" s="128">
        <v>0</v>
      </c>
      <c r="U370" s="1">
        <f t="shared" si="185"/>
        <v>30540.21</v>
      </c>
      <c r="V370" s="87">
        <v>30540.21</v>
      </c>
      <c r="W370" s="87">
        <v>0</v>
      </c>
      <c r="X370" s="1">
        <f t="shared" si="186"/>
        <v>14512.97</v>
      </c>
      <c r="Y370" s="57">
        <v>14512.97</v>
      </c>
      <c r="Z370" s="57">
        <v>0</v>
      </c>
      <c r="AA370" s="2">
        <f t="shared" si="187"/>
        <v>0</v>
      </c>
      <c r="AB370" s="2">
        <v>0</v>
      </c>
      <c r="AC370" s="2">
        <v>0</v>
      </c>
      <c r="AD370" s="16">
        <f t="shared" si="158"/>
        <v>300354.57</v>
      </c>
      <c r="AE370" s="42">
        <v>0</v>
      </c>
      <c r="AF370" s="2">
        <f t="shared" si="188"/>
        <v>300354.57</v>
      </c>
      <c r="AG370" s="38" t="s">
        <v>486</v>
      </c>
      <c r="AH370" s="38" t="s">
        <v>2217</v>
      </c>
      <c r="AI370" s="30">
        <v>12241.7</v>
      </c>
      <c r="AJ370" s="30">
        <v>1059.5</v>
      </c>
    </row>
    <row r="371" spans="1:36" ht="141.75" x14ac:dyDescent="0.25">
      <c r="A371" s="6">
        <v>368</v>
      </c>
      <c r="B371" s="31">
        <v>155151</v>
      </c>
      <c r="C371" s="11">
        <v>1217</v>
      </c>
      <c r="D371" s="9" t="s">
        <v>1638</v>
      </c>
      <c r="E371" s="24" t="s">
        <v>2012</v>
      </c>
      <c r="F371" s="27" t="s">
        <v>2098</v>
      </c>
      <c r="G371" s="27" t="s">
        <v>350</v>
      </c>
      <c r="H371" s="8" t="s">
        <v>151</v>
      </c>
      <c r="I371" s="12" t="s">
        <v>2805</v>
      </c>
      <c r="J371" s="25">
        <v>44656</v>
      </c>
      <c r="K371" s="25">
        <v>45143</v>
      </c>
      <c r="L371" s="26">
        <f t="shared" si="183"/>
        <v>85</v>
      </c>
      <c r="M371" s="40">
        <v>3</v>
      </c>
      <c r="N371" s="11" t="s">
        <v>353</v>
      </c>
      <c r="O371" s="11" t="s">
        <v>2097</v>
      </c>
      <c r="P371" s="27" t="s">
        <v>174</v>
      </c>
      <c r="Q371" s="11" t="s">
        <v>34</v>
      </c>
      <c r="R371" s="1">
        <f t="shared" si="184"/>
        <v>3396464</v>
      </c>
      <c r="S371" s="57">
        <v>3396464</v>
      </c>
      <c r="T371" s="128">
        <v>0</v>
      </c>
      <c r="U371" s="1">
        <f t="shared" si="185"/>
        <v>519459.2</v>
      </c>
      <c r="V371" s="87">
        <v>519459.2</v>
      </c>
      <c r="W371" s="87">
        <v>0</v>
      </c>
      <c r="X371" s="1">
        <f t="shared" si="186"/>
        <v>79916.800000000003</v>
      </c>
      <c r="Y371" s="57">
        <v>79916.800000000003</v>
      </c>
      <c r="Z371" s="57">
        <v>0</v>
      </c>
      <c r="AA371" s="2">
        <f t="shared" si="187"/>
        <v>0</v>
      </c>
      <c r="AB371" s="2">
        <v>0</v>
      </c>
      <c r="AC371" s="2">
        <v>0</v>
      </c>
      <c r="AD371" s="16">
        <f t="shared" si="158"/>
        <v>3995840</v>
      </c>
      <c r="AE371" s="42">
        <v>0</v>
      </c>
      <c r="AF371" s="2">
        <f t="shared" si="188"/>
        <v>3995840</v>
      </c>
      <c r="AG371" s="38" t="s">
        <v>486</v>
      </c>
      <c r="AH371" s="35"/>
      <c r="AI371" s="30">
        <v>399584</v>
      </c>
      <c r="AJ371" s="30">
        <v>0</v>
      </c>
    </row>
    <row r="372" spans="1:36" ht="141.75" x14ac:dyDescent="0.25">
      <c r="A372" s="6">
        <v>369</v>
      </c>
      <c r="B372" s="31">
        <v>155222</v>
      </c>
      <c r="C372" s="11">
        <v>1234</v>
      </c>
      <c r="D372" s="9" t="s">
        <v>1638</v>
      </c>
      <c r="E372" s="24" t="s">
        <v>2012</v>
      </c>
      <c r="F372" s="27" t="s">
        <v>2109</v>
      </c>
      <c r="G372" s="27" t="s">
        <v>1575</v>
      </c>
      <c r="H372" s="8" t="s">
        <v>151</v>
      </c>
      <c r="I372" s="12" t="s">
        <v>2806</v>
      </c>
      <c r="J372" s="25">
        <v>44658</v>
      </c>
      <c r="K372" s="25">
        <v>45145</v>
      </c>
      <c r="L372" s="26">
        <f t="shared" si="183"/>
        <v>85</v>
      </c>
      <c r="M372" s="40">
        <v>3</v>
      </c>
      <c r="N372" s="11" t="s">
        <v>353</v>
      </c>
      <c r="O372" s="11" t="s">
        <v>2110</v>
      </c>
      <c r="P372" s="27" t="s">
        <v>174</v>
      </c>
      <c r="Q372" s="11" t="s">
        <v>34</v>
      </c>
      <c r="R372" s="1">
        <f t="shared" si="184"/>
        <v>2518108</v>
      </c>
      <c r="S372" s="57">
        <v>2518108</v>
      </c>
      <c r="T372" s="128">
        <v>0</v>
      </c>
      <c r="U372" s="1">
        <f t="shared" si="185"/>
        <v>385122.4</v>
      </c>
      <c r="V372" s="87">
        <v>385122.4</v>
      </c>
      <c r="W372" s="87">
        <v>0</v>
      </c>
      <c r="X372" s="1">
        <f t="shared" si="186"/>
        <v>59249.599999999999</v>
      </c>
      <c r="Y372" s="57">
        <v>59249.599999999999</v>
      </c>
      <c r="Z372" s="57">
        <v>0</v>
      </c>
      <c r="AA372" s="2">
        <f t="shared" si="187"/>
        <v>0</v>
      </c>
      <c r="AB372" s="2">
        <v>0</v>
      </c>
      <c r="AC372" s="2">
        <v>0</v>
      </c>
      <c r="AD372" s="16">
        <f t="shared" si="158"/>
        <v>2962480</v>
      </c>
      <c r="AE372" s="42">
        <v>0</v>
      </c>
      <c r="AF372" s="2">
        <f t="shared" si="188"/>
        <v>2962480</v>
      </c>
      <c r="AG372" s="38" t="s">
        <v>486</v>
      </c>
      <c r="AH372" s="35"/>
      <c r="AI372" s="30">
        <v>279800</v>
      </c>
      <c r="AJ372" s="30">
        <v>0</v>
      </c>
    </row>
    <row r="373" spans="1:36" ht="283.5" x14ac:dyDescent="0.25">
      <c r="A373" s="6">
        <v>370</v>
      </c>
      <c r="B373" s="31">
        <v>155167</v>
      </c>
      <c r="C373" s="11">
        <v>1201</v>
      </c>
      <c r="D373" s="9" t="s">
        <v>1638</v>
      </c>
      <c r="E373" s="24" t="s">
        <v>2012</v>
      </c>
      <c r="F373" s="27" t="s">
        <v>2172</v>
      </c>
      <c r="G373" s="27" t="s">
        <v>1658</v>
      </c>
      <c r="H373" s="8" t="s">
        <v>151</v>
      </c>
      <c r="I373" s="12" t="s">
        <v>2807</v>
      </c>
      <c r="J373" s="25">
        <v>44679</v>
      </c>
      <c r="K373" s="25">
        <v>45166</v>
      </c>
      <c r="L373" s="26">
        <f t="shared" si="183"/>
        <v>84.999999707858606</v>
      </c>
      <c r="M373" s="40">
        <v>3</v>
      </c>
      <c r="N373" s="11" t="s">
        <v>353</v>
      </c>
      <c r="O373" s="11" t="s">
        <v>2173</v>
      </c>
      <c r="P373" s="27" t="s">
        <v>174</v>
      </c>
      <c r="Q373" s="11" t="s">
        <v>34</v>
      </c>
      <c r="R373" s="1">
        <f t="shared" si="184"/>
        <v>2909549.99</v>
      </c>
      <c r="S373" s="57">
        <v>2909549.99</v>
      </c>
      <c r="T373" s="128">
        <v>0</v>
      </c>
      <c r="U373" s="1">
        <f t="shared" si="185"/>
        <v>444990</v>
      </c>
      <c r="V373" s="87">
        <v>444990</v>
      </c>
      <c r="W373" s="87">
        <v>0</v>
      </c>
      <c r="X373" s="1">
        <f t="shared" si="186"/>
        <v>68460.009999999995</v>
      </c>
      <c r="Y373" s="57">
        <v>68460.009999999995</v>
      </c>
      <c r="Z373" s="57">
        <v>0</v>
      </c>
      <c r="AA373" s="2">
        <f t="shared" si="187"/>
        <v>0</v>
      </c>
      <c r="AB373" s="2">
        <v>0</v>
      </c>
      <c r="AC373" s="2">
        <v>0</v>
      </c>
      <c r="AD373" s="16">
        <f t="shared" si="158"/>
        <v>3423000</v>
      </c>
      <c r="AE373" s="42">
        <v>0</v>
      </c>
      <c r="AF373" s="2">
        <f t="shared" si="188"/>
        <v>3423000</v>
      </c>
      <c r="AG373" s="38" t="s">
        <v>486</v>
      </c>
      <c r="AH373" s="35"/>
      <c r="AI373" s="30">
        <v>0</v>
      </c>
      <c r="AJ373" s="30">
        <v>0</v>
      </c>
    </row>
    <row r="374" spans="1:36" ht="173.25" x14ac:dyDescent="0.25">
      <c r="A374" s="6">
        <v>371</v>
      </c>
      <c r="B374" s="31">
        <v>119235</v>
      </c>
      <c r="C374" s="11">
        <v>479</v>
      </c>
      <c r="D374" s="9" t="s">
        <v>1638</v>
      </c>
      <c r="E374" s="32" t="s">
        <v>457</v>
      </c>
      <c r="F374" s="11" t="s">
        <v>536</v>
      </c>
      <c r="G374" s="11" t="s">
        <v>1512</v>
      </c>
      <c r="H374" s="8" t="s">
        <v>151</v>
      </c>
      <c r="I374" s="32" t="s">
        <v>2808</v>
      </c>
      <c r="J374" s="25">
        <v>43276</v>
      </c>
      <c r="K374" s="25">
        <v>43702</v>
      </c>
      <c r="L374" s="26">
        <f t="shared" ref="L374:L382" si="189">R374/AD374*100</f>
        <v>84.999999139224727</v>
      </c>
      <c r="M374" s="27">
        <v>5</v>
      </c>
      <c r="N374" s="27" t="s">
        <v>537</v>
      </c>
      <c r="O374" s="27" t="s">
        <v>538</v>
      </c>
      <c r="P374" s="27" t="s">
        <v>174</v>
      </c>
      <c r="Q374" s="27" t="s">
        <v>460</v>
      </c>
      <c r="R374" s="1">
        <f t="shared" ref="R374:R382" si="190">S374+T374</f>
        <v>246870.47</v>
      </c>
      <c r="S374" s="30">
        <v>246870.47</v>
      </c>
      <c r="T374" s="57">
        <v>0</v>
      </c>
      <c r="U374" s="1">
        <f t="shared" ref="U374:U378" si="191">V374+W374</f>
        <v>37756.660000000003</v>
      </c>
      <c r="V374" s="42">
        <v>37756.660000000003</v>
      </c>
      <c r="W374" s="87">
        <v>0</v>
      </c>
      <c r="X374" s="1">
        <f t="shared" ref="X374:X382" si="192">Y374+Z374</f>
        <v>5808.72</v>
      </c>
      <c r="Y374" s="30">
        <v>5808.72</v>
      </c>
      <c r="Z374" s="57">
        <v>0</v>
      </c>
      <c r="AA374" s="2">
        <f>AB374+AC374</f>
        <v>0</v>
      </c>
      <c r="AB374" s="129">
        <v>0</v>
      </c>
      <c r="AC374" s="129">
        <v>0</v>
      </c>
      <c r="AD374" s="16">
        <f t="shared" si="158"/>
        <v>290435.84999999998</v>
      </c>
      <c r="AE374" s="35"/>
      <c r="AF374" s="2">
        <f t="shared" ref="AF374:AF382" si="193">AD374+AE374</f>
        <v>290435.84999999998</v>
      </c>
      <c r="AG374" s="21" t="s">
        <v>857</v>
      </c>
      <c r="AH374" s="73" t="s">
        <v>294</v>
      </c>
      <c r="AI374" s="30">
        <v>202756.04</v>
      </c>
      <c r="AJ374" s="30">
        <v>31009.739999999998</v>
      </c>
    </row>
    <row r="375" spans="1:36" ht="141.75" x14ac:dyDescent="0.25">
      <c r="A375" s="6">
        <v>372</v>
      </c>
      <c r="B375" s="31">
        <v>119160</v>
      </c>
      <c r="C375" s="11">
        <v>482</v>
      </c>
      <c r="D375" s="9" t="s">
        <v>1638</v>
      </c>
      <c r="E375" s="32" t="s">
        <v>457</v>
      </c>
      <c r="F375" s="11" t="s">
        <v>667</v>
      </c>
      <c r="G375" s="11" t="s">
        <v>668</v>
      </c>
      <c r="H375" s="8" t="s">
        <v>151</v>
      </c>
      <c r="I375" s="32" t="s">
        <v>669</v>
      </c>
      <c r="J375" s="25">
        <v>43304</v>
      </c>
      <c r="K375" s="25">
        <v>43974</v>
      </c>
      <c r="L375" s="26">
        <f t="shared" si="189"/>
        <v>84.99999840000666</v>
      </c>
      <c r="M375" s="27">
        <v>5</v>
      </c>
      <c r="N375" s="27" t="s">
        <v>537</v>
      </c>
      <c r="O375" s="27" t="s">
        <v>670</v>
      </c>
      <c r="P375" s="27" t="s">
        <v>174</v>
      </c>
      <c r="Q375" s="11" t="s">
        <v>34</v>
      </c>
      <c r="R375" s="1">
        <f t="shared" si="190"/>
        <v>212500.88</v>
      </c>
      <c r="S375" s="30">
        <v>212500.88</v>
      </c>
      <c r="T375" s="57">
        <v>0</v>
      </c>
      <c r="U375" s="1">
        <f t="shared" si="191"/>
        <v>32500.1</v>
      </c>
      <c r="V375" s="42">
        <v>32500.1</v>
      </c>
      <c r="W375" s="87">
        <v>0</v>
      </c>
      <c r="X375" s="1">
        <f t="shared" si="192"/>
        <v>5000.0600000000004</v>
      </c>
      <c r="Y375" s="30">
        <v>5000.0600000000004</v>
      </c>
      <c r="Z375" s="57">
        <v>0</v>
      </c>
      <c r="AA375" s="2">
        <f>AB375+AC375</f>
        <v>0</v>
      </c>
      <c r="AB375" s="2">
        <v>0</v>
      </c>
      <c r="AC375" s="2">
        <v>0</v>
      </c>
      <c r="AD375" s="16">
        <f t="shared" si="158"/>
        <v>250001.04</v>
      </c>
      <c r="AE375" s="35"/>
      <c r="AF375" s="2">
        <f t="shared" si="193"/>
        <v>250001.04</v>
      </c>
      <c r="AG375" s="38" t="s">
        <v>857</v>
      </c>
      <c r="AH375" s="73" t="s">
        <v>1438</v>
      </c>
      <c r="AI375" s="30">
        <f>136389.48+39853.1</f>
        <v>176242.58000000002</v>
      </c>
      <c r="AJ375" s="30">
        <f>20859.59+6095.18</f>
        <v>26954.77</v>
      </c>
    </row>
    <row r="376" spans="1:36" ht="173.25" x14ac:dyDescent="0.25">
      <c r="A376" s="6">
        <v>373</v>
      </c>
      <c r="B376" s="31">
        <v>117063</v>
      </c>
      <c r="C376" s="11">
        <v>411</v>
      </c>
      <c r="D376" s="32" t="s">
        <v>1639</v>
      </c>
      <c r="E376" s="11" t="s">
        <v>507</v>
      </c>
      <c r="F376" s="11" t="s">
        <v>709</v>
      </c>
      <c r="G376" s="11" t="s">
        <v>668</v>
      </c>
      <c r="H376" s="8" t="s">
        <v>151</v>
      </c>
      <c r="I376" s="32" t="s">
        <v>2809</v>
      </c>
      <c r="J376" s="25">
        <v>43313</v>
      </c>
      <c r="K376" s="25">
        <v>43800</v>
      </c>
      <c r="L376" s="26">
        <f t="shared" si="189"/>
        <v>85</v>
      </c>
      <c r="M376" s="11">
        <v>5</v>
      </c>
      <c r="N376" s="27" t="s">
        <v>537</v>
      </c>
      <c r="O376" s="11" t="s">
        <v>670</v>
      </c>
      <c r="P376" s="11" t="s">
        <v>174</v>
      </c>
      <c r="Q376" s="11" t="s">
        <v>460</v>
      </c>
      <c r="R376" s="1">
        <f t="shared" si="190"/>
        <v>213015.1</v>
      </c>
      <c r="S376" s="30">
        <v>213015.1</v>
      </c>
      <c r="T376" s="36">
        <v>0</v>
      </c>
      <c r="U376" s="1">
        <f t="shared" si="191"/>
        <v>32578.78</v>
      </c>
      <c r="V376" s="42">
        <v>32578.78</v>
      </c>
      <c r="W376" s="87">
        <v>0</v>
      </c>
      <c r="X376" s="1">
        <f t="shared" si="192"/>
        <v>5012.12</v>
      </c>
      <c r="Y376" s="51">
        <v>5012.12</v>
      </c>
      <c r="Z376" s="51">
        <v>0</v>
      </c>
      <c r="AA376" s="2">
        <f>AB376+AC376</f>
        <v>0</v>
      </c>
      <c r="AB376" s="2">
        <v>0</v>
      </c>
      <c r="AC376" s="2">
        <v>0</v>
      </c>
      <c r="AD376" s="16">
        <f t="shared" si="158"/>
        <v>250606</v>
      </c>
      <c r="AE376" s="35"/>
      <c r="AF376" s="2">
        <f t="shared" si="193"/>
        <v>250606</v>
      </c>
      <c r="AG376" s="21" t="s">
        <v>857</v>
      </c>
      <c r="AH376" s="38" t="s">
        <v>1148</v>
      </c>
      <c r="AI376" s="118">
        <v>148385.51999999999</v>
      </c>
      <c r="AJ376" s="118">
        <v>22694.260000000002</v>
      </c>
    </row>
    <row r="377" spans="1:36" ht="157.5" x14ac:dyDescent="0.25">
      <c r="A377" s="6">
        <v>374</v>
      </c>
      <c r="B377" s="31">
        <v>126522</v>
      </c>
      <c r="C377" s="11">
        <v>554</v>
      </c>
      <c r="D377" s="9" t="s">
        <v>1638</v>
      </c>
      <c r="E377" s="24" t="s">
        <v>899</v>
      </c>
      <c r="F377" s="27" t="s">
        <v>1031</v>
      </c>
      <c r="G377" s="11" t="s">
        <v>1512</v>
      </c>
      <c r="H377" s="8" t="s">
        <v>151</v>
      </c>
      <c r="I377" s="32" t="s">
        <v>1032</v>
      </c>
      <c r="J377" s="25">
        <v>43556</v>
      </c>
      <c r="K377" s="25">
        <v>45231</v>
      </c>
      <c r="L377" s="26">
        <f t="shared" si="189"/>
        <v>85.0000001266326</v>
      </c>
      <c r="M377" s="11">
        <v>5</v>
      </c>
      <c r="N377" s="27" t="s">
        <v>537</v>
      </c>
      <c r="O377" s="11" t="s">
        <v>538</v>
      </c>
      <c r="P377" s="11" t="s">
        <v>174</v>
      </c>
      <c r="Q377" s="11" t="s">
        <v>460</v>
      </c>
      <c r="R377" s="1">
        <f t="shared" si="190"/>
        <v>3356165.93</v>
      </c>
      <c r="S377" s="30">
        <v>3356165.93</v>
      </c>
      <c r="T377" s="36">
        <v>0</v>
      </c>
      <c r="U377" s="1">
        <f t="shared" si="191"/>
        <v>513295.96</v>
      </c>
      <c r="V377" s="42">
        <v>513295.96</v>
      </c>
      <c r="W377" s="87">
        <v>0</v>
      </c>
      <c r="X377" s="1">
        <f t="shared" si="192"/>
        <v>78968.61</v>
      </c>
      <c r="Y377" s="51">
        <v>78968.61</v>
      </c>
      <c r="Z377" s="51">
        <v>0</v>
      </c>
      <c r="AA377" s="2">
        <v>0</v>
      </c>
      <c r="AB377" s="2">
        <v>0</v>
      </c>
      <c r="AC377" s="2">
        <v>0</v>
      </c>
      <c r="AD377" s="16">
        <f t="shared" si="158"/>
        <v>3948430.5</v>
      </c>
      <c r="AE377" s="35"/>
      <c r="AF377" s="2">
        <f t="shared" si="193"/>
        <v>3948430.5</v>
      </c>
      <c r="AG377" s="38" t="s">
        <v>486</v>
      </c>
      <c r="AH377" s="38" t="s">
        <v>3319</v>
      </c>
      <c r="AI377" s="118">
        <f>129133.7+27747.4+291574.82+647249.5+380477.38+97969.94+101499.14+13175.85</f>
        <v>1688827.7299999997</v>
      </c>
      <c r="AJ377" s="118">
        <f>19749.87+4243.72+44593.8+98991.1+58190.66+14983.64+15523.4+2015.13</f>
        <v>258291.31999999998</v>
      </c>
    </row>
    <row r="378" spans="1:36" ht="141" customHeight="1" x14ac:dyDescent="0.25">
      <c r="A378" s="6">
        <v>375</v>
      </c>
      <c r="B378" s="31">
        <v>135760</v>
      </c>
      <c r="C378" s="11">
        <v>784</v>
      </c>
      <c r="D378" s="9" t="s">
        <v>1638</v>
      </c>
      <c r="E378" s="24" t="s">
        <v>1441</v>
      </c>
      <c r="F378" s="27" t="s">
        <v>1461</v>
      </c>
      <c r="G378" s="11" t="s">
        <v>1462</v>
      </c>
      <c r="H378" s="8" t="s">
        <v>151</v>
      </c>
      <c r="I378" s="32" t="s">
        <v>2810</v>
      </c>
      <c r="J378" s="25">
        <v>43959</v>
      </c>
      <c r="K378" s="25">
        <v>44600</v>
      </c>
      <c r="L378" s="26">
        <f t="shared" si="189"/>
        <v>85</v>
      </c>
      <c r="M378" s="11">
        <v>5</v>
      </c>
      <c r="N378" s="27" t="s">
        <v>537</v>
      </c>
      <c r="O378" s="27" t="s">
        <v>670</v>
      </c>
      <c r="P378" s="11" t="s">
        <v>174</v>
      </c>
      <c r="Q378" s="11" t="s">
        <v>1450</v>
      </c>
      <c r="R378" s="1">
        <f t="shared" si="190"/>
        <v>479451</v>
      </c>
      <c r="S378" s="30">
        <v>479451</v>
      </c>
      <c r="T378" s="36">
        <v>0</v>
      </c>
      <c r="U378" s="1">
        <f t="shared" si="191"/>
        <v>73327.8</v>
      </c>
      <c r="V378" s="42">
        <v>73327.8</v>
      </c>
      <c r="W378" s="87">
        <v>0</v>
      </c>
      <c r="X378" s="1">
        <f t="shared" si="192"/>
        <v>11281.2</v>
      </c>
      <c r="Y378" s="51">
        <v>11281.2</v>
      </c>
      <c r="Z378" s="51">
        <v>0</v>
      </c>
      <c r="AA378" s="2">
        <v>0</v>
      </c>
      <c r="AB378" s="2">
        <v>0</v>
      </c>
      <c r="AC378" s="2">
        <v>0</v>
      </c>
      <c r="AD378" s="16">
        <f t="shared" si="158"/>
        <v>564060</v>
      </c>
      <c r="AE378" s="35">
        <v>0</v>
      </c>
      <c r="AF378" s="2">
        <f t="shared" si="193"/>
        <v>564060</v>
      </c>
      <c r="AG378" s="38" t="s">
        <v>857</v>
      </c>
      <c r="AH378" s="38" t="s">
        <v>1912</v>
      </c>
      <c r="AI378" s="118">
        <f>859.78+94312.26+269131.83+58675.09</f>
        <v>422978.95999999996</v>
      </c>
      <c r="AJ378" s="118">
        <f>131.5+14424.23+41161.34+8973.84</f>
        <v>64690.909999999989</v>
      </c>
    </row>
    <row r="379" spans="1:36" ht="189" x14ac:dyDescent="0.25">
      <c r="A379" s="6">
        <v>376</v>
      </c>
      <c r="B379" s="31">
        <v>136091</v>
      </c>
      <c r="C379" s="11">
        <v>847</v>
      </c>
      <c r="D379" s="9" t="s">
        <v>1638</v>
      </c>
      <c r="E379" s="24" t="s">
        <v>1441</v>
      </c>
      <c r="F379" s="27" t="s">
        <v>1511</v>
      </c>
      <c r="G379" s="11" t="s">
        <v>1512</v>
      </c>
      <c r="H379" s="11" t="s">
        <v>1513</v>
      </c>
      <c r="I379" s="32" t="s">
        <v>2811</v>
      </c>
      <c r="J379" s="25">
        <v>43973</v>
      </c>
      <c r="K379" s="25">
        <v>45191</v>
      </c>
      <c r="L379" s="26">
        <f t="shared" si="189"/>
        <v>85</v>
      </c>
      <c r="M379" s="11">
        <v>5</v>
      </c>
      <c r="N379" s="27" t="s">
        <v>537</v>
      </c>
      <c r="O379" s="11" t="s">
        <v>538</v>
      </c>
      <c r="P379" s="11" t="s">
        <v>174</v>
      </c>
      <c r="Q379" s="11" t="s">
        <v>34</v>
      </c>
      <c r="R379" s="1">
        <f t="shared" si="190"/>
        <v>2381041.25</v>
      </c>
      <c r="S379" s="30">
        <v>2381041.25</v>
      </c>
      <c r="T379" s="36">
        <v>0</v>
      </c>
      <c r="U379" s="1">
        <f>V379+W379</f>
        <v>364159.25</v>
      </c>
      <c r="V379" s="42">
        <v>364159.25</v>
      </c>
      <c r="W379" s="87">
        <v>0</v>
      </c>
      <c r="X379" s="1">
        <f t="shared" si="192"/>
        <v>56024.5</v>
      </c>
      <c r="Y379" s="51">
        <v>56024.5</v>
      </c>
      <c r="Z379" s="51">
        <v>0</v>
      </c>
      <c r="AA379" s="2">
        <v>0</v>
      </c>
      <c r="AB379" s="2">
        <v>0</v>
      </c>
      <c r="AC379" s="2">
        <v>0</v>
      </c>
      <c r="AD379" s="16">
        <f t="shared" si="158"/>
        <v>2801225</v>
      </c>
      <c r="AE379" s="35">
        <v>0</v>
      </c>
      <c r="AF379" s="2">
        <f t="shared" si="193"/>
        <v>2801225</v>
      </c>
      <c r="AG379" s="38" t="s">
        <v>486</v>
      </c>
      <c r="AH379" s="38" t="s">
        <v>1997</v>
      </c>
      <c r="AI379" s="118">
        <f>38897.7+155670.76</f>
        <v>194568.46000000002</v>
      </c>
      <c r="AJ379" s="118">
        <f>5949.06+23808.47</f>
        <v>29757.530000000002</v>
      </c>
    </row>
    <row r="380" spans="1:36" ht="173.25" x14ac:dyDescent="0.25">
      <c r="A380" s="6">
        <v>377</v>
      </c>
      <c r="B380" s="31">
        <v>151977</v>
      </c>
      <c r="C380" s="11">
        <v>1102</v>
      </c>
      <c r="D380" s="9" t="s">
        <v>1639</v>
      </c>
      <c r="E380" s="24" t="s">
        <v>1801</v>
      </c>
      <c r="F380" s="27" t="s">
        <v>1802</v>
      </c>
      <c r="G380" s="11" t="s">
        <v>1512</v>
      </c>
      <c r="H380" s="8" t="s">
        <v>151</v>
      </c>
      <c r="I380" s="32" t="s">
        <v>1803</v>
      </c>
      <c r="J380" s="25">
        <v>44454</v>
      </c>
      <c r="K380" s="25">
        <v>44880</v>
      </c>
      <c r="L380" s="26">
        <f t="shared" si="189"/>
        <v>85.000000000000014</v>
      </c>
      <c r="M380" s="11">
        <v>5</v>
      </c>
      <c r="N380" s="27" t="s">
        <v>537</v>
      </c>
      <c r="O380" s="11" t="s">
        <v>538</v>
      </c>
      <c r="P380" s="11" t="s">
        <v>174</v>
      </c>
      <c r="Q380" s="11" t="s">
        <v>34</v>
      </c>
      <c r="R380" s="1">
        <f t="shared" si="190"/>
        <v>350749.1</v>
      </c>
      <c r="S380" s="30">
        <v>350749.1</v>
      </c>
      <c r="T380" s="36">
        <v>0</v>
      </c>
      <c r="U380" s="1">
        <f>V380+W380</f>
        <v>53643.98</v>
      </c>
      <c r="V380" s="42">
        <v>53643.98</v>
      </c>
      <c r="W380" s="87">
        <v>0</v>
      </c>
      <c r="X380" s="1">
        <f t="shared" si="192"/>
        <v>8252.92</v>
      </c>
      <c r="Y380" s="51">
        <v>8252.92</v>
      </c>
      <c r="Z380" s="51">
        <v>0</v>
      </c>
      <c r="AA380" s="2">
        <v>0</v>
      </c>
      <c r="AB380" s="2">
        <v>0</v>
      </c>
      <c r="AC380" s="2">
        <v>0</v>
      </c>
      <c r="AD380" s="16">
        <f t="shared" si="158"/>
        <v>412645.99999999994</v>
      </c>
      <c r="AE380" s="35">
        <v>0</v>
      </c>
      <c r="AF380" s="2">
        <f t="shared" si="193"/>
        <v>412645.99999999994</v>
      </c>
      <c r="AG380" s="38" t="s">
        <v>486</v>
      </c>
      <c r="AH380" s="38" t="s">
        <v>151</v>
      </c>
      <c r="AI380" s="118">
        <f>50435.27+17762.84</f>
        <v>68198.11</v>
      </c>
      <c r="AJ380" s="118">
        <f>7713.63+2716.67</f>
        <v>10430.299999999999</v>
      </c>
    </row>
    <row r="381" spans="1:36" ht="283.5" x14ac:dyDescent="0.25">
      <c r="A381" s="6">
        <v>378</v>
      </c>
      <c r="B381" s="31">
        <v>154615</v>
      </c>
      <c r="C381" s="11">
        <v>1220</v>
      </c>
      <c r="D381" s="9" t="s">
        <v>1638</v>
      </c>
      <c r="E381" s="24" t="s">
        <v>2012</v>
      </c>
      <c r="F381" s="27" t="s">
        <v>2182</v>
      </c>
      <c r="G381" s="11" t="s">
        <v>668</v>
      </c>
      <c r="H381" s="8" t="s">
        <v>151</v>
      </c>
      <c r="I381" s="32" t="s">
        <v>2812</v>
      </c>
      <c r="J381" s="25">
        <v>44685</v>
      </c>
      <c r="K381" s="25">
        <v>45173</v>
      </c>
      <c r="L381" s="26">
        <f t="shared" si="189"/>
        <v>85.000000025764805</v>
      </c>
      <c r="M381" s="11">
        <v>5</v>
      </c>
      <c r="N381" s="27" t="s">
        <v>537</v>
      </c>
      <c r="O381" s="11" t="s">
        <v>670</v>
      </c>
      <c r="P381" s="11" t="s">
        <v>174</v>
      </c>
      <c r="Q381" s="11" t="s">
        <v>460</v>
      </c>
      <c r="R381" s="1">
        <f t="shared" si="190"/>
        <v>3299072.65</v>
      </c>
      <c r="S381" s="30">
        <v>3299072.65</v>
      </c>
      <c r="T381" s="36">
        <v>0</v>
      </c>
      <c r="U381" s="1">
        <f>V381+W381</f>
        <v>504564.04</v>
      </c>
      <c r="V381" s="42">
        <v>504564.04</v>
      </c>
      <c r="W381" s="87">
        <v>0</v>
      </c>
      <c r="X381" s="1">
        <f t="shared" si="192"/>
        <v>77625.25</v>
      </c>
      <c r="Y381" s="51">
        <v>77625.25</v>
      </c>
      <c r="Z381" s="51">
        <v>0</v>
      </c>
      <c r="AA381" s="2">
        <v>0</v>
      </c>
      <c r="AB381" s="2">
        <v>0</v>
      </c>
      <c r="AC381" s="2">
        <v>0</v>
      </c>
      <c r="AD381" s="16">
        <f t="shared" si="158"/>
        <v>3881261.94</v>
      </c>
      <c r="AE381" s="35">
        <v>0</v>
      </c>
      <c r="AF381" s="2">
        <f t="shared" si="193"/>
        <v>3881261.94</v>
      </c>
      <c r="AG381" s="38" t="s">
        <v>486</v>
      </c>
      <c r="AH381" s="38" t="s">
        <v>151</v>
      </c>
      <c r="AI381" s="118">
        <v>0</v>
      </c>
      <c r="AJ381" s="118">
        <v>0</v>
      </c>
    </row>
    <row r="382" spans="1:36" ht="141.75" x14ac:dyDescent="0.25">
      <c r="A382" s="6">
        <v>379</v>
      </c>
      <c r="B382" s="31">
        <v>155110</v>
      </c>
      <c r="C382" s="11">
        <v>1186</v>
      </c>
      <c r="D382" s="9" t="s">
        <v>1638</v>
      </c>
      <c r="E382" s="24" t="s">
        <v>2012</v>
      </c>
      <c r="F382" s="27" t="s">
        <v>2204</v>
      </c>
      <c r="G382" s="11" t="s">
        <v>1462</v>
      </c>
      <c r="H382" s="8" t="s">
        <v>151</v>
      </c>
      <c r="I382" s="32" t="s">
        <v>2813</v>
      </c>
      <c r="J382" s="25">
        <v>44697</v>
      </c>
      <c r="K382" s="25">
        <v>45185</v>
      </c>
      <c r="L382" s="26">
        <f t="shared" si="189"/>
        <v>85.00000016838716</v>
      </c>
      <c r="M382" s="11">
        <v>5</v>
      </c>
      <c r="N382" s="27" t="s">
        <v>537</v>
      </c>
      <c r="O382" s="11" t="s">
        <v>670</v>
      </c>
      <c r="P382" s="11" t="s">
        <v>174</v>
      </c>
      <c r="Q382" s="11" t="s">
        <v>460</v>
      </c>
      <c r="R382" s="1">
        <f t="shared" si="190"/>
        <v>2523945.38</v>
      </c>
      <c r="S382" s="30">
        <v>2523945.38</v>
      </c>
      <c r="T382" s="36">
        <v>0</v>
      </c>
      <c r="U382" s="1">
        <f>V382+W382</f>
        <v>386015.17</v>
      </c>
      <c r="V382" s="42">
        <v>386015.17</v>
      </c>
      <c r="W382" s="87">
        <v>0</v>
      </c>
      <c r="X382" s="1">
        <f t="shared" si="192"/>
        <v>59386.95</v>
      </c>
      <c r="Y382" s="51">
        <v>59386.95</v>
      </c>
      <c r="Z382" s="51">
        <v>0</v>
      </c>
      <c r="AA382" s="2">
        <v>0</v>
      </c>
      <c r="AB382" s="2">
        <v>0</v>
      </c>
      <c r="AC382" s="2">
        <v>0</v>
      </c>
      <c r="AD382" s="16">
        <f t="shared" si="158"/>
        <v>2969347.5</v>
      </c>
      <c r="AE382" s="35">
        <v>0</v>
      </c>
      <c r="AF382" s="2">
        <f t="shared" si="193"/>
        <v>2969347.5</v>
      </c>
      <c r="AG382" s="38" t="s">
        <v>486</v>
      </c>
      <c r="AH382" s="38" t="s">
        <v>151</v>
      </c>
      <c r="AI382" s="118">
        <v>0</v>
      </c>
      <c r="AJ382" s="118">
        <v>0</v>
      </c>
    </row>
    <row r="383" spans="1:36" ht="189" x14ac:dyDescent="0.25">
      <c r="A383" s="6">
        <v>380</v>
      </c>
      <c r="B383" s="31">
        <v>119289</v>
      </c>
      <c r="C383" s="11">
        <v>484</v>
      </c>
      <c r="D383" s="9" t="s">
        <v>1638</v>
      </c>
      <c r="E383" s="11" t="s">
        <v>457</v>
      </c>
      <c r="F383" s="11" t="s">
        <v>519</v>
      </c>
      <c r="G383" s="11" t="s">
        <v>520</v>
      </c>
      <c r="H383" s="8" t="s">
        <v>151</v>
      </c>
      <c r="I383" s="46" t="s">
        <v>2814</v>
      </c>
      <c r="J383" s="25">
        <v>43271</v>
      </c>
      <c r="K383" s="25">
        <v>43941</v>
      </c>
      <c r="L383" s="26">
        <f t="shared" ref="L383:L402" si="194">R383/AD383*100</f>
        <v>85.000003319296809</v>
      </c>
      <c r="M383" s="40">
        <v>3</v>
      </c>
      <c r="N383" s="11" t="s">
        <v>485</v>
      </c>
      <c r="O383" s="11" t="s">
        <v>485</v>
      </c>
      <c r="P383" s="11" t="s">
        <v>174</v>
      </c>
      <c r="Q383" s="11" t="s">
        <v>460</v>
      </c>
      <c r="R383" s="1">
        <f t="shared" ref="R383:R415" si="195">S383+T383</f>
        <v>332901.85000000009</v>
      </c>
      <c r="S383" s="37">
        <v>332901.85000000009</v>
      </c>
      <c r="T383" s="37">
        <v>0</v>
      </c>
      <c r="U383" s="1">
        <f t="shared" ref="U383:U415" si="196">V383+W383</f>
        <v>50914.380000000005</v>
      </c>
      <c r="V383" s="42">
        <v>50914.380000000005</v>
      </c>
      <c r="W383" s="42">
        <v>0</v>
      </c>
      <c r="X383" s="1">
        <f t="shared" ref="X383:X415" si="197">Y383+Z383</f>
        <v>7832.9900000000016</v>
      </c>
      <c r="Y383" s="30">
        <v>7832.9900000000016</v>
      </c>
      <c r="Z383" s="30">
        <v>0</v>
      </c>
      <c r="AA383" s="2">
        <f t="shared" ref="AA383:AA415" si="198">AB383+AC383</f>
        <v>0</v>
      </c>
      <c r="AB383" s="41">
        <v>0</v>
      </c>
      <c r="AC383" s="41">
        <v>0</v>
      </c>
      <c r="AD383" s="16">
        <f t="shared" si="158"/>
        <v>391649.22000000009</v>
      </c>
      <c r="AE383" s="37">
        <f>1018.08+193.44</f>
        <v>1211.52</v>
      </c>
      <c r="AF383" s="2">
        <f t="shared" ref="AF383:AF402" si="199">AD383+AE383</f>
        <v>392860.74000000011</v>
      </c>
      <c r="AG383" s="38" t="s">
        <v>857</v>
      </c>
      <c r="AH383" s="38" t="s">
        <v>1323</v>
      </c>
      <c r="AI383" s="118">
        <f>184371.13+90330.3</f>
        <v>274701.43</v>
      </c>
      <c r="AJ383" s="30">
        <f>28197.95+13815.22</f>
        <v>42013.17</v>
      </c>
    </row>
    <row r="384" spans="1:36" ht="315" x14ac:dyDescent="0.25">
      <c r="A384" s="6">
        <v>381</v>
      </c>
      <c r="B384" s="31">
        <v>118717</v>
      </c>
      <c r="C384" s="11">
        <v>435</v>
      </c>
      <c r="D384" s="32" t="s">
        <v>1639</v>
      </c>
      <c r="E384" s="24" t="s">
        <v>507</v>
      </c>
      <c r="F384" s="11" t="s">
        <v>778</v>
      </c>
      <c r="G384" s="11" t="s">
        <v>520</v>
      </c>
      <c r="H384" s="8" t="s">
        <v>151</v>
      </c>
      <c r="I384" s="12" t="s">
        <v>2815</v>
      </c>
      <c r="J384" s="25">
        <v>43333</v>
      </c>
      <c r="K384" s="25">
        <v>43790</v>
      </c>
      <c r="L384" s="26">
        <f t="shared" si="194"/>
        <v>84.999995136543049</v>
      </c>
      <c r="M384" s="11">
        <v>3</v>
      </c>
      <c r="N384" s="11" t="s">
        <v>485</v>
      </c>
      <c r="O384" s="11" t="s">
        <v>485</v>
      </c>
      <c r="P384" s="11" t="s">
        <v>174</v>
      </c>
      <c r="Q384" s="11" t="s">
        <v>460</v>
      </c>
      <c r="R384" s="1">
        <f t="shared" si="195"/>
        <v>227204.63</v>
      </c>
      <c r="S384" s="42">
        <v>227204.63</v>
      </c>
      <c r="T384" s="37">
        <v>0</v>
      </c>
      <c r="U384" s="1">
        <f t="shared" si="196"/>
        <v>34748.959999999999</v>
      </c>
      <c r="V384" s="42">
        <v>34748.959999999999</v>
      </c>
      <c r="W384" s="87">
        <v>0</v>
      </c>
      <c r="X384" s="1">
        <f t="shared" si="197"/>
        <v>5345.99</v>
      </c>
      <c r="Y384" s="30">
        <v>5345.99</v>
      </c>
      <c r="Z384" s="30">
        <v>0</v>
      </c>
      <c r="AA384" s="2">
        <f t="shared" si="198"/>
        <v>0</v>
      </c>
      <c r="AB384" s="2">
        <v>0</v>
      </c>
      <c r="AC384" s="2">
        <v>0</v>
      </c>
      <c r="AD384" s="16">
        <f t="shared" si="158"/>
        <v>267299.58</v>
      </c>
      <c r="AE384" s="35">
        <v>37391</v>
      </c>
      <c r="AF384" s="2">
        <f t="shared" si="199"/>
        <v>304690.58</v>
      </c>
      <c r="AG384" s="21" t="s">
        <v>857</v>
      </c>
      <c r="AH384" s="38" t="s">
        <v>936</v>
      </c>
      <c r="AI384" s="118">
        <v>209499.62</v>
      </c>
      <c r="AJ384" s="118">
        <v>32041.13</v>
      </c>
    </row>
    <row r="385" spans="1:36" ht="283.5" x14ac:dyDescent="0.25">
      <c r="A385" s="6">
        <v>382</v>
      </c>
      <c r="B385" s="31">
        <v>129688</v>
      </c>
      <c r="C385" s="11">
        <v>686</v>
      </c>
      <c r="D385" s="9" t="s">
        <v>1638</v>
      </c>
      <c r="E385" s="11" t="s">
        <v>1071</v>
      </c>
      <c r="F385" s="11" t="s">
        <v>1080</v>
      </c>
      <c r="G385" s="11" t="s">
        <v>1081</v>
      </c>
      <c r="H385" s="8" t="s">
        <v>151</v>
      </c>
      <c r="I385" s="12" t="s">
        <v>1082</v>
      </c>
      <c r="J385" s="25">
        <v>43614</v>
      </c>
      <c r="K385" s="25">
        <v>44741</v>
      </c>
      <c r="L385" s="26">
        <f t="shared" si="194"/>
        <v>85.000000266732258</v>
      </c>
      <c r="M385" s="11">
        <v>3</v>
      </c>
      <c r="N385" s="11" t="s">
        <v>485</v>
      </c>
      <c r="O385" s="11" t="s">
        <v>485</v>
      </c>
      <c r="P385" s="11" t="s">
        <v>174</v>
      </c>
      <c r="Q385" s="11" t="s">
        <v>460</v>
      </c>
      <c r="R385" s="1">
        <f t="shared" si="195"/>
        <v>2708708.7699999996</v>
      </c>
      <c r="S385" s="42">
        <v>2708708.7699999996</v>
      </c>
      <c r="T385" s="37">
        <v>0</v>
      </c>
      <c r="U385" s="1">
        <f t="shared" si="196"/>
        <v>414273.09</v>
      </c>
      <c r="V385" s="42">
        <v>414273.09</v>
      </c>
      <c r="W385" s="87">
        <v>0</v>
      </c>
      <c r="X385" s="1">
        <f t="shared" si="197"/>
        <v>63734.330000000009</v>
      </c>
      <c r="Y385" s="30">
        <v>63734.330000000009</v>
      </c>
      <c r="Z385" s="30">
        <v>0</v>
      </c>
      <c r="AA385" s="2">
        <f t="shared" si="198"/>
        <v>0</v>
      </c>
      <c r="AB385" s="51">
        <v>0</v>
      </c>
      <c r="AC385" s="51">
        <v>0</v>
      </c>
      <c r="AD385" s="16">
        <f t="shared" si="158"/>
        <v>3186716.1899999995</v>
      </c>
      <c r="AE385" s="35">
        <v>0</v>
      </c>
      <c r="AF385" s="2">
        <f t="shared" si="199"/>
        <v>3186716.1899999995</v>
      </c>
      <c r="AG385" s="38" t="s">
        <v>857</v>
      </c>
      <c r="AH385" s="38" t="s">
        <v>1974</v>
      </c>
      <c r="AI385" s="30">
        <f>120014.5+245371.24+182109.1+377395.53+998748.05</f>
        <v>1923638.42</v>
      </c>
      <c r="AJ385" s="30">
        <f>18355.16+37527.36+27851.98+57719.33+152749.68</f>
        <v>294203.51</v>
      </c>
    </row>
    <row r="386" spans="1:36" ht="189" x14ac:dyDescent="0.25">
      <c r="A386" s="6">
        <v>383</v>
      </c>
      <c r="B386" s="31">
        <v>152016</v>
      </c>
      <c r="C386" s="11">
        <v>1117</v>
      </c>
      <c r="D386" s="9" t="s">
        <v>1639</v>
      </c>
      <c r="E386" s="24" t="s">
        <v>1801</v>
      </c>
      <c r="F386" s="11" t="s">
        <v>1958</v>
      </c>
      <c r="G386" s="11" t="s">
        <v>1959</v>
      </c>
      <c r="H386" s="11" t="s">
        <v>1922</v>
      </c>
      <c r="I386" s="12" t="s">
        <v>2816</v>
      </c>
      <c r="J386" s="25">
        <v>44557</v>
      </c>
      <c r="K386" s="25">
        <v>45012</v>
      </c>
      <c r="L386" s="26">
        <f t="shared" si="194"/>
        <v>84.999998493392624</v>
      </c>
      <c r="M386" s="11">
        <v>3</v>
      </c>
      <c r="N386" s="11" t="s">
        <v>485</v>
      </c>
      <c r="O386" s="11" t="s">
        <v>485</v>
      </c>
      <c r="P386" s="11" t="s">
        <v>174</v>
      </c>
      <c r="Q386" s="11" t="s">
        <v>460</v>
      </c>
      <c r="R386" s="1">
        <f t="shared" si="195"/>
        <v>338508.89</v>
      </c>
      <c r="S386" s="42">
        <v>338508.89</v>
      </c>
      <c r="T386" s="37">
        <v>0</v>
      </c>
      <c r="U386" s="1">
        <f t="shared" si="196"/>
        <v>44163.43</v>
      </c>
      <c r="V386" s="42">
        <v>44163.43</v>
      </c>
      <c r="W386" s="87">
        <v>0</v>
      </c>
      <c r="X386" s="1">
        <f t="shared" si="197"/>
        <v>15573.44</v>
      </c>
      <c r="Y386" s="30">
        <v>15573.44</v>
      </c>
      <c r="Z386" s="30">
        <v>0</v>
      </c>
      <c r="AA386" s="2">
        <f t="shared" si="198"/>
        <v>0</v>
      </c>
      <c r="AB386" s="51">
        <v>0</v>
      </c>
      <c r="AC386" s="51">
        <v>0</v>
      </c>
      <c r="AD386" s="16">
        <f t="shared" si="158"/>
        <v>398245.76</v>
      </c>
      <c r="AE386" s="35">
        <v>0</v>
      </c>
      <c r="AF386" s="2">
        <f t="shared" si="199"/>
        <v>398245.76</v>
      </c>
      <c r="AG386" s="38" t="s">
        <v>486</v>
      </c>
      <c r="AH386" s="38"/>
      <c r="AI386" s="30">
        <f>39080.11+119876.7</f>
        <v>158956.81</v>
      </c>
      <c r="AJ386" s="30">
        <f>5976.96+17824.84</f>
        <v>23801.8</v>
      </c>
    </row>
    <row r="387" spans="1:36" ht="141.75" x14ac:dyDescent="0.25">
      <c r="A387" s="6">
        <v>384</v>
      </c>
      <c r="B387" s="31">
        <v>154669</v>
      </c>
      <c r="C387" s="11">
        <v>1165</v>
      </c>
      <c r="D387" s="9" t="s">
        <v>1638</v>
      </c>
      <c r="E387" s="24" t="s">
        <v>2012</v>
      </c>
      <c r="F387" s="11" t="s">
        <v>2010</v>
      </c>
      <c r="G387" s="11" t="s">
        <v>2009</v>
      </c>
      <c r="H387" s="8" t="s">
        <v>151</v>
      </c>
      <c r="I387" s="12" t="s">
        <v>2013</v>
      </c>
      <c r="J387" s="25">
        <v>44637</v>
      </c>
      <c r="K387" s="25">
        <v>45124</v>
      </c>
      <c r="L387" s="26">
        <f t="shared" si="194"/>
        <v>85</v>
      </c>
      <c r="M387" s="11">
        <v>3</v>
      </c>
      <c r="N387" s="11" t="s">
        <v>485</v>
      </c>
      <c r="O387" s="11" t="s">
        <v>2011</v>
      </c>
      <c r="P387" s="11" t="s">
        <v>174</v>
      </c>
      <c r="Q387" s="11" t="s">
        <v>460</v>
      </c>
      <c r="R387" s="1">
        <f t="shared" si="195"/>
        <v>1254107</v>
      </c>
      <c r="S387" s="42">
        <v>1254107</v>
      </c>
      <c r="T387" s="37">
        <v>0</v>
      </c>
      <c r="U387" s="1">
        <f t="shared" si="196"/>
        <v>191804.6</v>
      </c>
      <c r="V387" s="42">
        <v>191804.6</v>
      </c>
      <c r="W387" s="87">
        <v>0</v>
      </c>
      <c r="X387" s="1">
        <f t="shared" si="197"/>
        <v>29508.400000000001</v>
      </c>
      <c r="Y387" s="30">
        <v>29508.400000000001</v>
      </c>
      <c r="Z387" s="30">
        <v>0</v>
      </c>
      <c r="AA387" s="2">
        <f t="shared" si="198"/>
        <v>0</v>
      </c>
      <c r="AB387" s="51">
        <v>0</v>
      </c>
      <c r="AC387" s="51">
        <v>0</v>
      </c>
      <c r="AD387" s="16">
        <f t="shared" si="158"/>
        <v>1475420</v>
      </c>
      <c r="AE387" s="35">
        <v>0</v>
      </c>
      <c r="AF387" s="2">
        <f t="shared" si="199"/>
        <v>1475420</v>
      </c>
      <c r="AG387" s="38" t="s">
        <v>486</v>
      </c>
      <c r="AH387" s="38"/>
      <c r="AI387" s="30">
        <f>145000-15358.95</f>
        <v>129641.05</v>
      </c>
      <c r="AJ387" s="30">
        <f>15358.95</f>
        <v>15358.95</v>
      </c>
    </row>
    <row r="388" spans="1:36" ht="141.75" x14ac:dyDescent="0.25">
      <c r="A388" s="6">
        <v>385</v>
      </c>
      <c r="B388" s="31">
        <v>154744</v>
      </c>
      <c r="C388" s="11">
        <v>1168</v>
      </c>
      <c r="D388" s="9" t="s">
        <v>1638</v>
      </c>
      <c r="E388" s="24" t="s">
        <v>2012</v>
      </c>
      <c r="F388" s="11" t="s">
        <v>2015</v>
      </c>
      <c r="G388" s="11" t="s">
        <v>2014</v>
      </c>
      <c r="H388" s="8" t="s">
        <v>151</v>
      </c>
      <c r="I388" s="12" t="s">
        <v>2817</v>
      </c>
      <c r="J388" s="25">
        <v>44637</v>
      </c>
      <c r="K388" s="25">
        <v>45124</v>
      </c>
      <c r="L388" s="26">
        <f t="shared" si="194"/>
        <v>85</v>
      </c>
      <c r="M388" s="11">
        <v>3</v>
      </c>
      <c r="N388" s="11" t="s">
        <v>485</v>
      </c>
      <c r="O388" s="11" t="s">
        <v>2016</v>
      </c>
      <c r="P388" s="11" t="s">
        <v>174</v>
      </c>
      <c r="Q388" s="11" t="s">
        <v>460</v>
      </c>
      <c r="R388" s="1">
        <f t="shared" si="195"/>
        <v>1254107</v>
      </c>
      <c r="S388" s="42">
        <v>1254107</v>
      </c>
      <c r="T388" s="37">
        <v>0</v>
      </c>
      <c r="U388" s="1">
        <f t="shared" si="196"/>
        <v>191804.6</v>
      </c>
      <c r="V388" s="42">
        <v>191804.6</v>
      </c>
      <c r="W388" s="87">
        <v>0</v>
      </c>
      <c r="X388" s="1">
        <f t="shared" si="197"/>
        <v>29508.400000000001</v>
      </c>
      <c r="Y388" s="30">
        <v>29508.400000000001</v>
      </c>
      <c r="Z388" s="30">
        <v>0</v>
      </c>
      <c r="AA388" s="2">
        <f t="shared" si="198"/>
        <v>0</v>
      </c>
      <c r="AB388" s="51">
        <v>0</v>
      </c>
      <c r="AC388" s="51">
        <v>0</v>
      </c>
      <c r="AD388" s="16">
        <f t="shared" si="158"/>
        <v>1475420</v>
      </c>
      <c r="AE388" s="35">
        <v>0</v>
      </c>
      <c r="AF388" s="2">
        <f t="shared" si="199"/>
        <v>1475420</v>
      </c>
      <c r="AG388" s="38" t="s">
        <v>486</v>
      </c>
      <c r="AH388" s="38"/>
      <c r="AI388" s="30">
        <v>145000</v>
      </c>
      <c r="AJ388" s="30">
        <v>0</v>
      </c>
    </row>
    <row r="389" spans="1:36" ht="141.75" x14ac:dyDescent="0.25">
      <c r="A389" s="6">
        <v>386</v>
      </c>
      <c r="B389" s="31">
        <v>154668</v>
      </c>
      <c r="C389" s="11">
        <v>1180</v>
      </c>
      <c r="D389" s="9" t="s">
        <v>1638</v>
      </c>
      <c r="E389" s="24" t="s">
        <v>2012</v>
      </c>
      <c r="F389" s="11" t="s">
        <v>2021</v>
      </c>
      <c r="G389" s="11" t="s">
        <v>2020</v>
      </c>
      <c r="H389" s="8" t="s">
        <v>151</v>
      </c>
      <c r="I389" s="12" t="s">
        <v>2818</v>
      </c>
      <c r="J389" s="25">
        <v>44637</v>
      </c>
      <c r="K389" s="25">
        <v>45124</v>
      </c>
      <c r="L389" s="26">
        <f t="shared" si="194"/>
        <v>85</v>
      </c>
      <c r="M389" s="11">
        <v>3</v>
      </c>
      <c r="N389" s="11" t="s">
        <v>485</v>
      </c>
      <c r="O389" s="11" t="s">
        <v>2022</v>
      </c>
      <c r="P389" s="11" t="s">
        <v>174</v>
      </c>
      <c r="Q389" s="11" t="s">
        <v>460</v>
      </c>
      <c r="R389" s="1">
        <f t="shared" si="195"/>
        <v>1254107</v>
      </c>
      <c r="S389" s="42">
        <v>1254107</v>
      </c>
      <c r="T389" s="37">
        <v>0</v>
      </c>
      <c r="U389" s="1">
        <f t="shared" si="196"/>
        <v>191804.6</v>
      </c>
      <c r="V389" s="42">
        <v>191804.6</v>
      </c>
      <c r="W389" s="87">
        <v>0</v>
      </c>
      <c r="X389" s="1">
        <f t="shared" si="197"/>
        <v>29508.400000000001</v>
      </c>
      <c r="Y389" s="30">
        <v>29508.400000000001</v>
      </c>
      <c r="Z389" s="30">
        <v>0</v>
      </c>
      <c r="AA389" s="2">
        <f t="shared" si="198"/>
        <v>0</v>
      </c>
      <c r="AB389" s="51">
        <v>0</v>
      </c>
      <c r="AC389" s="51">
        <v>0</v>
      </c>
      <c r="AD389" s="16">
        <f t="shared" ref="AD389:AD452" si="200">R389+U389+X389+AA389</f>
        <v>1475420</v>
      </c>
      <c r="AE389" s="35">
        <v>0</v>
      </c>
      <c r="AF389" s="2">
        <f t="shared" si="199"/>
        <v>1475420</v>
      </c>
      <c r="AG389" s="38" t="s">
        <v>486</v>
      </c>
      <c r="AH389" s="38"/>
      <c r="AI389" s="30">
        <f>145000-10895.62</f>
        <v>134104.38</v>
      </c>
      <c r="AJ389" s="30">
        <f>10895.62</f>
        <v>10895.62</v>
      </c>
    </row>
    <row r="390" spans="1:36" ht="141.75" x14ac:dyDescent="0.25">
      <c r="A390" s="6">
        <v>387</v>
      </c>
      <c r="B390" s="31">
        <v>154762</v>
      </c>
      <c r="C390" s="11">
        <v>1181</v>
      </c>
      <c r="D390" s="9" t="s">
        <v>1638</v>
      </c>
      <c r="E390" s="24" t="s">
        <v>2012</v>
      </c>
      <c r="F390" s="11" t="s">
        <v>2024</v>
      </c>
      <c r="G390" s="11" t="s">
        <v>2023</v>
      </c>
      <c r="H390" s="8" t="s">
        <v>151</v>
      </c>
      <c r="I390" s="12" t="s">
        <v>2819</v>
      </c>
      <c r="J390" s="25">
        <v>44637</v>
      </c>
      <c r="K390" s="25">
        <v>45124</v>
      </c>
      <c r="L390" s="26">
        <f t="shared" si="194"/>
        <v>85</v>
      </c>
      <c r="M390" s="11">
        <v>3</v>
      </c>
      <c r="N390" s="11" t="s">
        <v>485</v>
      </c>
      <c r="O390" s="11" t="s">
        <v>2025</v>
      </c>
      <c r="P390" s="11" t="s">
        <v>174</v>
      </c>
      <c r="Q390" s="11" t="s">
        <v>460</v>
      </c>
      <c r="R390" s="1">
        <f t="shared" si="195"/>
        <v>1254107</v>
      </c>
      <c r="S390" s="42">
        <v>1254107</v>
      </c>
      <c r="T390" s="37">
        <v>0</v>
      </c>
      <c r="U390" s="1">
        <f t="shared" si="196"/>
        <v>191804.6</v>
      </c>
      <c r="V390" s="42">
        <v>191804.6</v>
      </c>
      <c r="W390" s="87">
        <v>0</v>
      </c>
      <c r="X390" s="1">
        <f t="shared" si="197"/>
        <v>29508.400000000001</v>
      </c>
      <c r="Y390" s="30">
        <v>29508.400000000001</v>
      </c>
      <c r="Z390" s="30">
        <v>0</v>
      </c>
      <c r="AA390" s="2">
        <f t="shared" si="198"/>
        <v>0</v>
      </c>
      <c r="AB390" s="51">
        <v>0</v>
      </c>
      <c r="AC390" s="51">
        <v>0</v>
      </c>
      <c r="AD390" s="16">
        <f t="shared" si="200"/>
        <v>1475420</v>
      </c>
      <c r="AE390" s="35">
        <v>0</v>
      </c>
      <c r="AF390" s="2">
        <f t="shared" si="199"/>
        <v>1475420</v>
      </c>
      <c r="AG390" s="38" t="s">
        <v>486</v>
      </c>
      <c r="AH390" s="38"/>
      <c r="AI390" s="30">
        <v>145000</v>
      </c>
      <c r="AJ390" s="30">
        <v>0</v>
      </c>
    </row>
    <row r="391" spans="1:36" ht="141.75" x14ac:dyDescent="0.25">
      <c r="A391" s="6">
        <v>388</v>
      </c>
      <c r="B391" s="31">
        <v>154757</v>
      </c>
      <c r="C391" s="11">
        <v>1188</v>
      </c>
      <c r="D391" s="9" t="s">
        <v>1638</v>
      </c>
      <c r="E391" s="24" t="s">
        <v>2012</v>
      </c>
      <c r="F391" s="11" t="s">
        <v>2027</v>
      </c>
      <c r="G391" s="11" t="s">
        <v>2026</v>
      </c>
      <c r="H391" s="8" t="s">
        <v>151</v>
      </c>
      <c r="I391" s="12" t="s">
        <v>2820</v>
      </c>
      <c r="J391" s="25">
        <v>44637</v>
      </c>
      <c r="K391" s="25">
        <v>45124</v>
      </c>
      <c r="L391" s="26">
        <f t="shared" si="194"/>
        <v>85</v>
      </c>
      <c r="M391" s="11">
        <v>3</v>
      </c>
      <c r="N391" s="11" t="s">
        <v>485</v>
      </c>
      <c r="O391" s="11" t="s">
        <v>2028</v>
      </c>
      <c r="P391" s="11" t="s">
        <v>174</v>
      </c>
      <c r="Q391" s="11" t="s">
        <v>460</v>
      </c>
      <c r="R391" s="1">
        <f t="shared" si="195"/>
        <v>1254107</v>
      </c>
      <c r="S391" s="42">
        <v>1254107</v>
      </c>
      <c r="T391" s="37">
        <v>0</v>
      </c>
      <c r="U391" s="1">
        <f t="shared" si="196"/>
        <v>191804.6</v>
      </c>
      <c r="V391" s="42">
        <v>191804.6</v>
      </c>
      <c r="W391" s="87">
        <v>0</v>
      </c>
      <c r="X391" s="1">
        <f t="shared" si="197"/>
        <v>29508.400000000001</v>
      </c>
      <c r="Y391" s="30">
        <v>29508.400000000001</v>
      </c>
      <c r="Z391" s="30">
        <v>0</v>
      </c>
      <c r="AA391" s="2">
        <f t="shared" si="198"/>
        <v>0</v>
      </c>
      <c r="AB391" s="51">
        <v>0</v>
      </c>
      <c r="AC391" s="51">
        <v>0</v>
      </c>
      <c r="AD391" s="16">
        <f t="shared" si="200"/>
        <v>1475420</v>
      </c>
      <c r="AE391" s="35">
        <v>0</v>
      </c>
      <c r="AF391" s="2">
        <f t="shared" si="199"/>
        <v>1475420</v>
      </c>
      <c r="AG391" s="38" t="s">
        <v>486</v>
      </c>
      <c r="AH391" s="38"/>
      <c r="AI391" s="30">
        <f>145000-10635.56</f>
        <v>134364.44</v>
      </c>
      <c r="AJ391" s="30">
        <f>10635.56</f>
        <v>10635.56</v>
      </c>
    </row>
    <row r="392" spans="1:36" ht="157.5" x14ac:dyDescent="0.25">
      <c r="A392" s="6">
        <v>389</v>
      </c>
      <c r="B392" s="31">
        <v>154664</v>
      </c>
      <c r="C392" s="11">
        <v>1171</v>
      </c>
      <c r="D392" s="9" t="s">
        <v>1638</v>
      </c>
      <c r="E392" s="24" t="s">
        <v>2012</v>
      </c>
      <c r="F392" s="11" t="s">
        <v>2031</v>
      </c>
      <c r="G392" s="11" t="s">
        <v>2030</v>
      </c>
      <c r="H392" s="8" t="s">
        <v>151</v>
      </c>
      <c r="I392" s="12" t="s">
        <v>2035</v>
      </c>
      <c r="J392" s="25">
        <v>44641</v>
      </c>
      <c r="K392" s="25">
        <v>45128</v>
      </c>
      <c r="L392" s="26">
        <f t="shared" si="194"/>
        <v>85</v>
      </c>
      <c r="M392" s="11">
        <v>3</v>
      </c>
      <c r="N392" s="11" t="s">
        <v>485</v>
      </c>
      <c r="O392" s="11" t="s">
        <v>2032</v>
      </c>
      <c r="P392" s="11" t="s">
        <v>174</v>
      </c>
      <c r="Q392" s="11" t="s">
        <v>460</v>
      </c>
      <c r="R392" s="1">
        <f t="shared" si="195"/>
        <v>1254107</v>
      </c>
      <c r="S392" s="42">
        <v>1254107</v>
      </c>
      <c r="T392" s="37">
        <v>0</v>
      </c>
      <c r="U392" s="1">
        <f t="shared" si="196"/>
        <v>191804.6</v>
      </c>
      <c r="V392" s="42">
        <v>191804.6</v>
      </c>
      <c r="W392" s="87">
        <v>0</v>
      </c>
      <c r="X392" s="1">
        <f t="shared" si="197"/>
        <v>29508.400000000001</v>
      </c>
      <c r="Y392" s="30">
        <v>29508.400000000001</v>
      </c>
      <c r="Z392" s="30">
        <v>0</v>
      </c>
      <c r="AA392" s="2">
        <f t="shared" si="198"/>
        <v>0</v>
      </c>
      <c r="AB392" s="51">
        <v>0</v>
      </c>
      <c r="AC392" s="51">
        <v>0</v>
      </c>
      <c r="AD392" s="16">
        <f t="shared" si="200"/>
        <v>1475420</v>
      </c>
      <c r="AE392" s="35">
        <v>0</v>
      </c>
      <c r="AF392" s="2">
        <f t="shared" si="199"/>
        <v>1475420</v>
      </c>
      <c r="AG392" s="38" t="s">
        <v>486</v>
      </c>
      <c r="AH392" s="38"/>
      <c r="AI392" s="30">
        <v>145000</v>
      </c>
      <c r="AJ392" s="30">
        <v>0</v>
      </c>
    </row>
    <row r="393" spans="1:36" ht="141.75" x14ac:dyDescent="0.25">
      <c r="A393" s="6">
        <v>390</v>
      </c>
      <c r="B393" s="31">
        <v>154716</v>
      </c>
      <c r="C393" s="11">
        <v>1172</v>
      </c>
      <c r="D393" s="9" t="s">
        <v>1638</v>
      </c>
      <c r="E393" s="24" t="s">
        <v>2012</v>
      </c>
      <c r="F393" s="11" t="s">
        <v>2034</v>
      </c>
      <c r="G393" s="11" t="s">
        <v>2033</v>
      </c>
      <c r="H393" s="8" t="s">
        <v>151</v>
      </c>
      <c r="I393" s="12" t="s">
        <v>2821</v>
      </c>
      <c r="J393" s="25">
        <v>44642</v>
      </c>
      <c r="K393" s="25">
        <v>45129</v>
      </c>
      <c r="L393" s="26">
        <f t="shared" si="194"/>
        <v>85</v>
      </c>
      <c r="M393" s="11">
        <v>3</v>
      </c>
      <c r="N393" s="11" t="s">
        <v>485</v>
      </c>
      <c r="O393" s="11" t="s">
        <v>2036</v>
      </c>
      <c r="P393" s="11" t="s">
        <v>174</v>
      </c>
      <c r="Q393" s="11" t="s">
        <v>460</v>
      </c>
      <c r="R393" s="1">
        <f t="shared" si="195"/>
        <v>1254107</v>
      </c>
      <c r="S393" s="42">
        <v>1254107</v>
      </c>
      <c r="T393" s="37">
        <v>0</v>
      </c>
      <c r="U393" s="1">
        <f t="shared" si="196"/>
        <v>191804.6</v>
      </c>
      <c r="V393" s="42">
        <v>191804.6</v>
      </c>
      <c r="W393" s="87">
        <v>0</v>
      </c>
      <c r="X393" s="1">
        <f t="shared" si="197"/>
        <v>29508.400000000001</v>
      </c>
      <c r="Y393" s="30">
        <v>29508.400000000001</v>
      </c>
      <c r="Z393" s="30">
        <v>0</v>
      </c>
      <c r="AA393" s="2">
        <f t="shared" si="198"/>
        <v>0</v>
      </c>
      <c r="AB393" s="51">
        <v>0</v>
      </c>
      <c r="AC393" s="51">
        <v>0</v>
      </c>
      <c r="AD393" s="16">
        <f t="shared" si="200"/>
        <v>1475420</v>
      </c>
      <c r="AE393" s="35">
        <v>0</v>
      </c>
      <c r="AF393" s="2">
        <f t="shared" si="199"/>
        <v>1475420</v>
      </c>
      <c r="AG393" s="38" t="s">
        <v>486</v>
      </c>
      <c r="AH393" s="38"/>
      <c r="AI393" s="30">
        <f>145000-11351.32</f>
        <v>133648.68</v>
      </c>
      <c r="AJ393" s="30">
        <f>11351.32</f>
        <v>11351.32</v>
      </c>
    </row>
    <row r="394" spans="1:36" ht="141.75" x14ac:dyDescent="0.25">
      <c r="A394" s="6">
        <v>391</v>
      </c>
      <c r="B394" s="31">
        <v>154750</v>
      </c>
      <c r="C394" s="11">
        <v>1174</v>
      </c>
      <c r="D394" s="9" t="s">
        <v>1638</v>
      </c>
      <c r="E394" s="24" t="s">
        <v>2012</v>
      </c>
      <c r="F394" s="11" t="s">
        <v>2038</v>
      </c>
      <c r="G394" s="11" t="s">
        <v>2037</v>
      </c>
      <c r="H394" s="8" t="s">
        <v>151</v>
      </c>
      <c r="I394" s="12" t="s">
        <v>2822</v>
      </c>
      <c r="J394" s="25">
        <v>44642</v>
      </c>
      <c r="K394" s="25">
        <v>45129</v>
      </c>
      <c r="L394" s="26">
        <f t="shared" si="194"/>
        <v>85</v>
      </c>
      <c r="M394" s="11">
        <v>3</v>
      </c>
      <c r="N394" s="11" t="s">
        <v>485</v>
      </c>
      <c r="O394" s="11" t="s">
        <v>2039</v>
      </c>
      <c r="P394" s="11" t="s">
        <v>174</v>
      </c>
      <c r="Q394" s="11" t="s">
        <v>460</v>
      </c>
      <c r="R394" s="1">
        <f t="shared" si="195"/>
        <v>1254107</v>
      </c>
      <c r="S394" s="42">
        <v>1254107</v>
      </c>
      <c r="T394" s="37">
        <v>0</v>
      </c>
      <c r="U394" s="1">
        <f t="shared" si="196"/>
        <v>191804.6</v>
      </c>
      <c r="V394" s="42">
        <v>191804.6</v>
      </c>
      <c r="W394" s="87">
        <v>0</v>
      </c>
      <c r="X394" s="1">
        <f t="shared" si="197"/>
        <v>29508.400000000001</v>
      </c>
      <c r="Y394" s="30">
        <v>29508.400000000001</v>
      </c>
      <c r="Z394" s="30">
        <v>0</v>
      </c>
      <c r="AA394" s="2">
        <f t="shared" si="198"/>
        <v>0</v>
      </c>
      <c r="AB394" s="51">
        <v>0</v>
      </c>
      <c r="AC394" s="51">
        <v>0</v>
      </c>
      <c r="AD394" s="16">
        <f t="shared" si="200"/>
        <v>1475420</v>
      </c>
      <c r="AE394" s="35">
        <v>0</v>
      </c>
      <c r="AF394" s="2">
        <f t="shared" si="199"/>
        <v>1475420</v>
      </c>
      <c r="AG394" s="38" t="s">
        <v>486</v>
      </c>
      <c r="AH394" s="38"/>
      <c r="AI394" s="30">
        <v>145000</v>
      </c>
      <c r="AJ394" s="30">
        <v>0</v>
      </c>
    </row>
    <row r="395" spans="1:36" ht="141.75" x14ac:dyDescent="0.25">
      <c r="A395" s="6">
        <v>392</v>
      </c>
      <c r="B395" s="31">
        <v>154674</v>
      </c>
      <c r="C395" s="11">
        <v>1184</v>
      </c>
      <c r="D395" s="9" t="s">
        <v>1638</v>
      </c>
      <c r="E395" s="24" t="s">
        <v>2012</v>
      </c>
      <c r="F395" s="11" t="s">
        <v>2041</v>
      </c>
      <c r="G395" s="11" t="s">
        <v>2040</v>
      </c>
      <c r="H395" s="8" t="s">
        <v>151</v>
      </c>
      <c r="I395" s="12" t="s">
        <v>2823</v>
      </c>
      <c r="J395" s="25">
        <v>44641</v>
      </c>
      <c r="K395" s="25">
        <v>45128</v>
      </c>
      <c r="L395" s="26">
        <f t="shared" si="194"/>
        <v>85</v>
      </c>
      <c r="M395" s="11">
        <v>3</v>
      </c>
      <c r="N395" s="11" t="s">
        <v>485</v>
      </c>
      <c r="O395" s="11" t="s">
        <v>2042</v>
      </c>
      <c r="P395" s="11" t="s">
        <v>174</v>
      </c>
      <c r="Q395" s="11" t="s">
        <v>460</v>
      </c>
      <c r="R395" s="1">
        <f t="shared" si="195"/>
        <v>1254107</v>
      </c>
      <c r="S395" s="42">
        <v>1254107</v>
      </c>
      <c r="T395" s="37">
        <v>0</v>
      </c>
      <c r="U395" s="1">
        <f t="shared" si="196"/>
        <v>191804.6</v>
      </c>
      <c r="V395" s="42">
        <v>191804.6</v>
      </c>
      <c r="W395" s="87">
        <v>0</v>
      </c>
      <c r="X395" s="1">
        <f t="shared" si="197"/>
        <v>29508.400000000001</v>
      </c>
      <c r="Y395" s="30">
        <v>29508.400000000001</v>
      </c>
      <c r="Z395" s="30">
        <v>0</v>
      </c>
      <c r="AA395" s="2">
        <f t="shared" si="198"/>
        <v>0</v>
      </c>
      <c r="AB395" s="51">
        <v>0</v>
      </c>
      <c r="AC395" s="51">
        <v>0</v>
      </c>
      <c r="AD395" s="16">
        <f t="shared" si="200"/>
        <v>1475420</v>
      </c>
      <c r="AE395" s="35">
        <v>0</v>
      </c>
      <c r="AF395" s="2">
        <f t="shared" si="199"/>
        <v>1475420</v>
      </c>
      <c r="AG395" s="38" t="s">
        <v>486</v>
      </c>
      <c r="AH395" s="38"/>
      <c r="AI395" s="30">
        <v>145000</v>
      </c>
      <c r="AJ395" s="30">
        <v>0</v>
      </c>
    </row>
    <row r="396" spans="1:36" ht="141.75" x14ac:dyDescent="0.25">
      <c r="A396" s="6">
        <v>393</v>
      </c>
      <c r="B396" s="31">
        <v>154670</v>
      </c>
      <c r="C396" s="11">
        <v>1179</v>
      </c>
      <c r="D396" s="9" t="s">
        <v>1638</v>
      </c>
      <c r="E396" s="24" t="s">
        <v>2012</v>
      </c>
      <c r="F396" s="11" t="s">
        <v>2047</v>
      </c>
      <c r="G396" s="11" t="s">
        <v>2046</v>
      </c>
      <c r="H396" s="8" t="s">
        <v>151</v>
      </c>
      <c r="I396" s="12" t="s">
        <v>2824</v>
      </c>
      <c r="J396" s="25">
        <v>44643</v>
      </c>
      <c r="K396" s="25">
        <v>45130</v>
      </c>
      <c r="L396" s="26">
        <f t="shared" si="194"/>
        <v>85</v>
      </c>
      <c r="M396" s="11">
        <v>3</v>
      </c>
      <c r="N396" s="11" t="s">
        <v>485</v>
      </c>
      <c r="O396" s="11" t="s">
        <v>2048</v>
      </c>
      <c r="P396" s="11" t="s">
        <v>174</v>
      </c>
      <c r="Q396" s="11" t="s">
        <v>460</v>
      </c>
      <c r="R396" s="1">
        <f t="shared" si="195"/>
        <v>1254107</v>
      </c>
      <c r="S396" s="42">
        <v>1254107</v>
      </c>
      <c r="T396" s="37">
        <v>0</v>
      </c>
      <c r="U396" s="1">
        <f t="shared" si="196"/>
        <v>191804.6</v>
      </c>
      <c r="V396" s="42">
        <v>191804.6</v>
      </c>
      <c r="W396" s="87">
        <v>0</v>
      </c>
      <c r="X396" s="1">
        <f t="shared" si="197"/>
        <v>29508.400000000001</v>
      </c>
      <c r="Y396" s="30">
        <v>29508.400000000001</v>
      </c>
      <c r="Z396" s="30">
        <v>0</v>
      </c>
      <c r="AA396" s="2">
        <f t="shared" si="198"/>
        <v>0</v>
      </c>
      <c r="AB396" s="51">
        <v>0</v>
      </c>
      <c r="AC396" s="51">
        <v>0</v>
      </c>
      <c r="AD396" s="16">
        <f t="shared" si="200"/>
        <v>1475420</v>
      </c>
      <c r="AE396" s="35">
        <v>0</v>
      </c>
      <c r="AF396" s="2">
        <f t="shared" si="199"/>
        <v>1475420</v>
      </c>
      <c r="AG396" s="38" t="s">
        <v>486</v>
      </c>
      <c r="AH396" s="38"/>
      <c r="AI396" s="30">
        <v>145000</v>
      </c>
      <c r="AJ396" s="30">
        <v>0</v>
      </c>
    </row>
    <row r="397" spans="1:36" ht="141.75" x14ac:dyDescent="0.25">
      <c r="A397" s="6">
        <v>394</v>
      </c>
      <c r="B397" s="31">
        <v>154671</v>
      </c>
      <c r="C397" s="11">
        <v>1176</v>
      </c>
      <c r="D397" s="9" t="s">
        <v>1638</v>
      </c>
      <c r="E397" s="24" t="s">
        <v>2012</v>
      </c>
      <c r="F397" s="11" t="s">
        <v>2050</v>
      </c>
      <c r="G397" s="11" t="s">
        <v>2049</v>
      </c>
      <c r="H397" s="8" t="s">
        <v>151</v>
      </c>
      <c r="I397" s="12" t="s">
        <v>2825</v>
      </c>
      <c r="J397" s="25">
        <v>44645</v>
      </c>
      <c r="K397" s="25">
        <v>45132</v>
      </c>
      <c r="L397" s="26">
        <f t="shared" si="194"/>
        <v>85</v>
      </c>
      <c r="M397" s="11">
        <v>3</v>
      </c>
      <c r="N397" s="11" t="s">
        <v>485</v>
      </c>
      <c r="O397" s="11" t="s">
        <v>2051</v>
      </c>
      <c r="P397" s="11" t="s">
        <v>174</v>
      </c>
      <c r="Q397" s="11" t="s">
        <v>460</v>
      </c>
      <c r="R397" s="1">
        <f t="shared" si="195"/>
        <v>1254107</v>
      </c>
      <c r="S397" s="42">
        <v>1254107</v>
      </c>
      <c r="T397" s="37">
        <v>0</v>
      </c>
      <c r="U397" s="1">
        <f t="shared" si="196"/>
        <v>191804.6</v>
      </c>
      <c r="V397" s="42">
        <v>191804.6</v>
      </c>
      <c r="W397" s="87">
        <v>0</v>
      </c>
      <c r="X397" s="1">
        <f t="shared" si="197"/>
        <v>29508.400000000001</v>
      </c>
      <c r="Y397" s="30">
        <v>29508.400000000001</v>
      </c>
      <c r="Z397" s="30">
        <v>0</v>
      </c>
      <c r="AA397" s="2">
        <f t="shared" si="198"/>
        <v>0</v>
      </c>
      <c r="AB397" s="51">
        <v>0</v>
      </c>
      <c r="AC397" s="51">
        <v>0</v>
      </c>
      <c r="AD397" s="16">
        <f t="shared" si="200"/>
        <v>1475420</v>
      </c>
      <c r="AE397" s="35">
        <v>0</v>
      </c>
      <c r="AF397" s="2">
        <f t="shared" si="199"/>
        <v>1475420</v>
      </c>
      <c r="AG397" s="38" t="s">
        <v>486</v>
      </c>
      <c r="AH397" s="38"/>
      <c r="AI397" s="30">
        <v>145000</v>
      </c>
      <c r="AJ397" s="30">
        <v>0</v>
      </c>
    </row>
    <row r="398" spans="1:36" ht="141.75" x14ac:dyDescent="0.25">
      <c r="A398" s="6">
        <v>395</v>
      </c>
      <c r="B398" s="31">
        <v>154806</v>
      </c>
      <c r="C398" s="11">
        <v>1173</v>
      </c>
      <c r="D398" s="9" t="s">
        <v>1638</v>
      </c>
      <c r="E398" s="24" t="s">
        <v>2012</v>
      </c>
      <c r="F398" s="11" t="s">
        <v>2055</v>
      </c>
      <c r="G398" s="11" t="s">
        <v>2054</v>
      </c>
      <c r="H398" s="8" t="s">
        <v>151</v>
      </c>
      <c r="I398" s="12" t="s">
        <v>2826</v>
      </c>
      <c r="J398" s="25">
        <v>44649</v>
      </c>
      <c r="K398" s="25">
        <v>45136</v>
      </c>
      <c r="L398" s="26">
        <f t="shared" si="194"/>
        <v>85</v>
      </c>
      <c r="M398" s="11">
        <v>3</v>
      </c>
      <c r="N398" s="11" t="s">
        <v>485</v>
      </c>
      <c r="O398" s="11" t="s">
        <v>2056</v>
      </c>
      <c r="P398" s="11" t="s">
        <v>174</v>
      </c>
      <c r="Q398" s="11" t="s">
        <v>460</v>
      </c>
      <c r="R398" s="1">
        <f t="shared" si="195"/>
        <v>1254107</v>
      </c>
      <c r="S398" s="42">
        <v>1254107</v>
      </c>
      <c r="T398" s="37">
        <v>0</v>
      </c>
      <c r="U398" s="1">
        <f t="shared" si="196"/>
        <v>191804.6</v>
      </c>
      <c r="V398" s="42">
        <v>191804.6</v>
      </c>
      <c r="W398" s="87">
        <v>0</v>
      </c>
      <c r="X398" s="1">
        <f t="shared" si="197"/>
        <v>29508.400000000001</v>
      </c>
      <c r="Y398" s="30">
        <v>29508.400000000001</v>
      </c>
      <c r="Z398" s="30">
        <v>0</v>
      </c>
      <c r="AA398" s="2">
        <f t="shared" si="198"/>
        <v>0</v>
      </c>
      <c r="AB398" s="51">
        <v>0</v>
      </c>
      <c r="AC398" s="51">
        <v>0</v>
      </c>
      <c r="AD398" s="16">
        <f t="shared" si="200"/>
        <v>1475420</v>
      </c>
      <c r="AE398" s="35">
        <v>0</v>
      </c>
      <c r="AF398" s="2">
        <f t="shared" si="199"/>
        <v>1475420</v>
      </c>
      <c r="AG398" s="38" t="s">
        <v>486</v>
      </c>
      <c r="AH398" s="38"/>
      <c r="AI398" s="30">
        <v>145000</v>
      </c>
      <c r="AJ398" s="30">
        <v>0</v>
      </c>
    </row>
    <row r="399" spans="1:36" ht="141.75" x14ac:dyDescent="0.25">
      <c r="A399" s="6">
        <v>396</v>
      </c>
      <c r="B399" s="31">
        <v>154688</v>
      </c>
      <c r="C399" s="31">
        <v>1175</v>
      </c>
      <c r="D399" s="9" t="s">
        <v>1638</v>
      </c>
      <c r="E399" s="24" t="s">
        <v>2012</v>
      </c>
      <c r="F399" s="11" t="s">
        <v>2068</v>
      </c>
      <c r="G399" s="31" t="s">
        <v>2067</v>
      </c>
      <c r="H399" s="8" t="s">
        <v>151</v>
      </c>
      <c r="I399" s="12" t="s">
        <v>2069</v>
      </c>
      <c r="J399" s="25">
        <v>44655</v>
      </c>
      <c r="K399" s="25">
        <v>45142</v>
      </c>
      <c r="L399" s="26">
        <f t="shared" si="194"/>
        <v>85</v>
      </c>
      <c r="M399" s="11">
        <v>3</v>
      </c>
      <c r="N399" s="11" t="s">
        <v>485</v>
      </c>
      <c r="O399" s="11" t="s">
        <v>2070</v>
      </c>
      <c r="P399" s="11" t="s">
        <v>174</v>
      </c>
      <c r="Q399" s="11" t="s">
        <v>460</v>
      </c>
      <c r="R399" s="1">
        <f t="shared" si="195"/>
        <v>1254107</v>
      </c>
      <c r="S399" s="42">
        <v>1254107</v>
      </c>
      <c r="T399" s="37">
        <v>0</v>
      </c>
      <c r="U399" s="1">
        <f t="shared" si="196"/>
        <v>191804.6</v>
      </c>
      <c r="V399" s="42">
        <v>191804.6</v>
      </c>
      <c r="W399" s="87">
        <v>0</v>
      </c>
      <c r="X399" s="1">
        <f t="shared" si="197"/>
        <v>29508.400000000001</v>
      </c>
      <c r="Y399" s="30">
        <v>29508.400000000001</v>
      </c>
      <c r="Z399" s="30">
        <v>0</v>
      </c>
      <c r="AA399" s="2">
        <f t="shared" si="198"/>
        <v>0</v>
      </c>
      <c r="AB399" s="51">
        <v>0</v>
      </c>
      <c r="AC399" s="51">
        <v>0</v>
      </c>
      <c r="AD399" s="16">
        <f t="shared" si="200"/>
        <v>1475420</v>
      </c>
      <c r="AE399" s="35">
        <v>0</v>
      </c>
      <c r="AF399" s="2">
        <f t="shared" si="199"/>
        <v>1475420</v>
      </c>
      <c r="AG399" s="38" t="s">
        <v>486</v>
      </c>
      <c r="AH399" s="38"/>
      <c r="AI399" s="30">
        <v>0</v>
      </c>
      <c r="AJ399" s="30">
        <v>0</v>
      </c>
    </row>
    <row r="400" spans="1:36" ht="141.75" x14ac:dyDescent="0.25">
      <c r="A400" s="6">
        <v>397</v>
      </c>
      <c r="B400" s="31">
        <v>154597</v>
      </c>
      <c r="C400" s="31">
        <v>1195</v>
      </c>
      <c r="D400" s="9" t="s">
        <v>1638</v>
      </c>
      <c r="E400" s="24" t="s">
        <v>2012</v>
      </c>
      <c r="F400" s="11" t="s">
        <v>2074</v>
      </c>
      <c r="G400" s="31" t="s">
        <v>2073</v>
      </c>
      <c r="H400" s="8" t="s">
        <v>151</v>
      </c>
      <c r="I400" s="12" t="s">
        <v>2075</v>
      </c>
      <c r="J400" s="25">
        <v>44655</v>
      </c>
      <c r="K400" s="25">
        <v>45142</v>
      </c>
      <c r="L400" s="26">
        <f t="shared" si="194"/>
        <v>85</v>
      </c>
      <c r="M400" s="11">
        <v>3</v>
      </c>
      <c r="N400" s="11" t="s">
        <v>485</v>
      </c>
      <c r="O400" s="11" t="s">
        <v>2076</v>
      </c>
      <c r="P400" s="11" t="s">
        <v>174</v>
      </c>
      <c r="Q400" s="11" t="s">
        <v>460</v>
      </c>
      <c r="R400" s="1">
        <f t="shared" si="195"/>
        <v>2207679.5</v>
      </c>
      <c r="S400" s="42">
        <v>2207679.5</v>
      </c>
      <c r="T400" s="37">
        <v>0</v>
      </c>
      <c r="U400" s="1">
        <f t="shared" si="196"/>
        <v>337645.1</v>
      </c>
      <c r="V400" s="42">
        <v>337645.1</v>
      </c>
      <c r="W400" s="87">
        <v>0</v>
      </c>
      <c r="X400" s="1">
        <f t="shared" si="197"/>
        <v>51945.4</v>
      </c>
      <c r="Y400" s="30">
        <v>51945.4</v>
      </c>
      <c r="Z400" s="30">
        <v>0</v>
      </c>
      <c r="AA400" s="2">
        <f t="shared" si="198"/>
        <v>0</v>
      </c>
      <c r="AB400" s="51">
        <v>0</v>
      </c>
      <c r="AC400" s="51">
        <v>0</v>
      </c>
      <c r="AD400" s="16">
        <f t="shared" si="200"/>
        <v>2597270</v>
      </c>
      <c r="AE400" s="35">
        <v>0</v>
      </c>
      <c r="AF400" s="2">
        <f t="shared" si="199"/>
        <v>2597270</v>
      </c>
      <c r="AG400" s="38" t="s">
        <v>486</v>
      </c>
      <c r="AH400" s="38"/>
      <c r="AI400" s="30">
        <v>259700</v>
      </c>
      <c r="AJ400" s="30">
        <v>0</v>
      </c>
    </row>
    <row r="401" spans="1:36" ht="236.25" x14ac:dyDescent="0.25">
      <c r="A401" s="6">
        <v>398</v>
      </c>
      <c r="B401" s="31">
        <v>154845</v>
      </c>
      <c r="C401" s="31">
        <v>1160</v>
      </c>
      <c r="D401" s="9" t="s">
        <v>1638</v>
      </c>
      <c r="E401" s="24" t="s">
        <v>2012</v>
      </c>
      <c r="F401" s="11" t="s">
        <v>2086</v>
      </c>
      <c r="G401" s="31" t="s">
        <v>2085</v>
      </c>
      <c r="H401" s="8" t="s">
        <v>151</v>
      </c>
      <c r="I401" s="12" t="s">
        <v>2827</v>
      </c>
      <c r="J401" s="25">
        <v>44656</v>
      </c>
      <c r="K401" s="25">
        <v>45143</v>
      </c>
      <c r="L401" s="26">
        <f t="shared" si="194"/>
        <v>85.000000305451834</v>
      </c>
      <c r="M401" s="11">
        <v>3</v>
      </c>
      <c r="N401" s="11" t="s">
        <v>485</v>
      </c>
      <c r="O401" s="11" t="s">
        <v>2087</v>
      </c>
      <c r="P401" s="11" t="s">
        <v>174</v>
      </c>
      <c r="Q401" s="11" t="s">
        <v>460</v>
      </c>
      <c r="R401" s="1">
        <f t="shared" si="195"/>
        <v>2087072.03</v>
      </c>
      <c r="S401" s="42">
        <v>2087072.03</v>
      </c>
      <c r="T401" s="37">
        <v>0</v>
      </c>
      <c r="U401" s="1">
        <f t="shared" si="196"/>
        <v>319199.24</v>
      </c>
      <c r="V401" s="42">
        <v>319199.24</v>
      </c>
      <c r="W401" s="87">
        <v>0</v>
      </c>
      <c r="X401" s="1">
        <f t="shared" si="197"/>
        <v>49107.58</v>
      </c>
      <c r="Y401" s="30">
        <v>49107.58</v>
      </c>
      <c r="Z401" s="30">
        <v>0</v>
      </c>
      <c r="AA401" s="2">
        <f t="shared" si="198"/>
        <v>0</v>
      </c>
      <c r="AB401" s="51">
        <v>0</v>
      </c>
      <c r="AC401" s="51">
        <v>0</v>
      </c>
      <c r="AD401" s="16">
        <f t="shared" si="200"/>
        <v>2455378.85</v>
      </c>
      <c r="AE401" s="35">
        <v>0</v>
      </c>
      <c r="AF401" s="2">
        <f t="shared" si="199"/>
        <v>2455378.85</v>
      </c>
      <c r="AG401" s="38" t="s">
        <v>486</v>
      </c>
      <c r="AH401" s="38"/>
      <c r="AI401" s="30">
        <v>0</v>
      </c>
      <c r="AJ401" s="30">
        <v>0</v>
      </c>
    </row>
    <row r="402" spans="1:36" ht="237" customHeight="1" x14ac:dyDescent="0.25">
      <c r="A402" s="6">
        <v>399</v>
      </c>
      <c r="B402" s="31">
        <v>154353</v>
      </c>
      <c r="C402" s="31">
        <v>1164</v>
      </c>
      <c r="D402" s="9" t="s">
        <v>1638</v>
      </c>
      <c r="E402" s="24" t="s">
        <v>2012</v>
      </c>
      <c r="F402" s="11" t="s">
        <v>2090</v>
      </c>
      <c r="G402" s="31" t="s">
        <v>2088</v>
      </c>
      <c r="H402" s="8" t="s">
        <v>151</v>
      </c>
      <c r="I402" s="12" t="s">
        <v>2828</v>
      </c>
      <c r="J402" s="25">
        <v>44656</v>
      </c>
      <c r="K402" s="25">
        <v>45143</v>
      </c>
      <c r="L402" s="26">
        <f t="shared" si="194"/>
        <v>85.000000687868351</v>
      </c>
      <c r="M402" s="11">
        <v>3</v>
      </c>
      <c r="N402" s="11" t="s">
        <v>485</v>
      </c>
      <c r="O402" s="11" t="s">
        <v>2089</v>
      </c>
      <c r="P402" s="11" t="s">
        <v>174</v>
      </c>
      <c r="Q402" s="11" t="s">
        <v>460</v>
      </c>
      <c r="R402" s="1">
        <f t="shared" si="195"/>
        <v>2162477.75</v>
      </c>
      <c r="S402" s="42">
        <v>2162477.75</v>
      </c>
      <c r="T402" s="37">
        <v>0</v>
      </c>
      <c r="U402" s="1">
        <f t="shared" si="196"/>
        <v>330731.87</v>
      </c>
      <c r="V402" s="42">
        <v>330731.87</v>
      </c>
      <c r="W402" s="87">
        <v>0</v>
      </c>
      <c r="X402" s="1">
        <f t="shared" si="197"/>
        <v>50881.83</v>
      </c>
      <c r="Y402" s="30">
        <v>50881.83</v>
      </c>
      <c r="Z402" s="30">
        <v>0</v>
      </c>
      <c r="AA402" s="2">
        <f t="shared" si="198"/>
        <v>0</v>
      </c>
      <c r="AB402" s="51">
        <v>0</v>
      </c>
      <c r="AC402" s="51">
        <v>0</v>
      </c>
      <c r="AD402" s="16">
        <f t="shared" si="200"/>
        <v>2544091.4500000002</v>
      </c>
      <c r="AE402" s="35">
        <v>0</v>
      </c>
      <c r="AF402" s="2">
        <f t="shared" si="199"/>
        <v>2544091.4500000002</v>
      </c>
      <c r="AG402" s="38" t="s">
        <v>486</v>
      </c>
      <c r="AH402" s="38"/>
      <c r="AI402" s="30">
        <v>0</v>
      </c>
      <c r="AJ402" s="30">
        <v>0</v>
      </c>
    </row>
    <row r="403" spans="1:36" ht="166.5" customHeight="1" x14ac:dyDescent="0.25">
      <c r="A403" s="6">
        <v>400</v>
      </c>
      <c r="B403" s="31">
        <v>154662</v>
      </c>
      <c r="C403" s="31">
        <v>1177</v>
      </c>
      <c r="D403" s="9" t="s">
        <v>1638</v>
      </c>
      <c r="E403" s="24" t="s">
        <v>2012</v>
      </c>
      <c r="F403" s="11" t="s">
        <v>2091</v>
      </c>
      <c r="G403" s="31" t="s">
        <v>2092</v>
      </c>
      <c r="H403" s="8" t="s">
        <v>151</v>
      </c>
      <c r="I403" s="12" t="s">
        <v>2829</v>
      </c>
      <c r="J403" s="25">
        <v>44657</v>
      </c>
      <c r="K403" s="25">
        <v>45144</v>
      </c>
      <c r="L403" s="26">
        <f t="shared" ref="L403:L415" si="201">R403/AD403*100</f>
        <v>85.000000687868351</v>
      </c>
      <c r="M403" s="11">
        <v>3</v>
      </c>
      <c r="N403" s="11" t="s">
        <v>485</v>
      </c>
      <c r="O403" s="11" t="s">
        <v>2093</v>
      </c>
      <c r="P403" s="11" t="s">
        <v>174</v>
      </c>
      <c r="Q403" s="11" t="s">
        <v>460</v>
      </c>
      <c r="R403" s="1">
        <f t="shared" si="195"/>
        <v>2162477.75</v>
      </c>
      <c r="S403" s="42">
        <v>2162477.75</v>
      </c>
      <c r="T403" s="37">
        <v>0</v>
      </c>
      <c r="U403" s="1">
        <f t="shared" si="196"/>
        <v>330731.87</v>
      </c>
      <c r="V403" s="42">
        <v>330731.87</v>
      </c>
      <c r="W403" s="87">
        <v>0</v>
      </c>
      <c r="X403" s="1">
        <f t="shared" si="197"/>
        <v>50881.83</v>
      </c>
      <c r="Y403" s="30">
        <v>50881.83</v>
      </c>
      <c r="Z403" s="30">
        <v>0</v>
      </c>
      <c r="AA403" s="2">
        <f t="shared" si="198"/>
        <v>0</v>
      </c>
      <c r="AB403" s="51">
        <v>0</v>
      </c>
      <c r="AC403" s="51">
        <v>0</v>
      </c>
      <c r="AD403" s="16">
        <f t="shared" si="200"/>
        <v>2544091.4500000002</v>
      </c>
      <c r="AE403" s="35">
        <v>0</v>
      </c>
      <c r="AF403" s="2">
        <f t="shared" ref="AF403:AF415" si="202">AD403+AE403</f>
        <v>2544091.4500000002</v>
      </c>
      <c r="AG403" s="38" t="s">
        <v>486</v>
      </c>
      <c r="AH403" s="38"/>
      <c r="AI403" s="30">
        <v>92046.5</v>
      </c>
      <c r="AJ403" s="30">
        <v>14077.7</v>
      </c>
    </row>
    <row r="404" spans="1:36" ht="166.5" customHeight="1" x14ac:dyDescent="0.25">
      <c r="A404" s="6">
        <v>401</v>
      </c>
      <c r="B404" s="31">
        <v>154480</v>
      </c>
      <c r="C404" s="31">
        <v>1166</v>
      </c>
      <c r="D404" s="9" t="s">
        <v>1638</v>
      </c>
      <c r="E404" s="24" t="s">
        <v>2012</v>
      </c>
      <c r="F404" s="11" t="s">
        <v>2106</v>
      </c>
      <c r="G404" s="31" t="s">
        <v>2105</v>
      </c>
      <c r="H404" s="8" t="s">
        <v>151</v>
      </c>
      <c r="I404" s="12" t="s">
        <v>2830</v>
      </c>
      <c r="J404" s="25">
        <v>44658</v>
      </c>
      <c r="K404" s="25">
        <v>45145</v>
      </c>
      <c r="L404" s="26">
        <f t="shared" si="201"/>
        <v>85.000000389203606</v>
      </c>
      <c r="M404" s="11">
        <v>3</v>
      </c>
      <c r="N404" s="11" t="s">
        <v>485</v>
      </c>
      <c r="O404" s="11" t="s">
        <v>2107</v>
      </c>
      <c r="P404" s="11" t="s">
        <v>174</v>
      </c>
      <c r="Q404" s="11" t="s">
        <v>460</v>
      </c>
      <c r="R404" s="1">
        <f t="shared" si="195"/>
        <v>2183946.83</v>
      </c>
      <c r="S404" s="42">
        <v>2183946.83</v>
      </c>
      <c r="T404" s="37">
        <v>0</v>
      </c>
      <c r="U404" s="1">
        <f t="shared" si="196"/>
        <v>334015.39</v>
      </c>
      <c r="V404" s="42">
        <v>334015.39</v>
      </c>
      <c r="W404" s="87">
        <v>0</v>
      </c>
      <c r="X404" s="1">
        <f t="shared" si="197"/>
        <v>51386.98</v>
      </c>
      <c r="Y404" s="30">
        <v>51386.98</v>
      </c>
      <c r="Z404" s="30">
        <v>0</v>
      </c>
      <c r="AA404" s="2">
        <f t="shared" si="198"/>
        <v>0</v>
      </c>
      <c r="AB404" s="51">
        <v>0</v>
      </c>
      <c r="AC404" s="51">
        <v>0</v>
      </c>
      <c r="AD404" s="16">
        <f t="shared" si="200"/>
        <v>2569349.2000000002</v>
      </c>
      <c r="AE404" s="35">
        <v>0</v>
      </c>
      <c r="AF404" s="2">
        <f t="shared" si="202"/>
        <v>2569349.2000000002</v>
      </c>
      <c r="AG404" s="38" t="s">
        <v>486</v>
      </c>
      <c r="AH404" s="38"/>
      <c r="AI404" s="30">
        <v>0</v>
      </c>
      <c r="AJ404" s="30">
        <v>0</v>
      </c>
    </row>
    <row r="405" spans="1:36" ht="166.5" customHeight="1" x14ac:dyDescent="0.25">
      <c r="A405" s="6">
        <v>402</v>
      </c>
      <c r="B405" s="31">
        <v>155168</v>
      </c>
      <c r="C405" s="31">
        <v>1199</v>
      </c>
      <c r="D405" s="9" t="s">
        <v>1638</v>
      </c>
      <c r="E405" s="24" t="s">
        <v>2012</v>
      </c>
      <c r="F405" s="11" t="s">
        <v>2118</v>
      </c>
      <c r="G405" s="31" t="s">
        <v>2117</v>
      </c>
      <c r="H405" s="8" t="s">
        <v>151</v>
      </c>
      <c r="I405" s="12" t="s">
        <v>2831</v>
      </c>
      <c r="J405" s="25">
        <v>44662</v>
      </c>
      <c r="K405" s="25">
        <v>45149</v>
      </c>
      <c r="L405" s="26">
        <f t="shared" si="201"/>
        <v>85</v>
      </c>
      <c r="M405" s="11">
        <v>3</v>
      </c>
      <c r="N405" s="11" t="s">
        <v>485</v>
      </c>
      <c r="O405" s="11" t="s">
        <v>2119</v>
      </c>
      <c r="P405" s="11" t="s">
        <v>174</v>
      </c>
      <c r="Q405" s="11" t="s">
        <v>460</v>
      </c>
      <c r="R405" s="1">
        <f t="shared" si="195"/>
        <v>2246295</v>
      </c>
      <c r="S405" s="42">
        <v>2246295</v>
      </c>
      <c r="T405" s="37">
        <v>0</v>
      </c>
      <c r="U405" s="1">
        <f t="shared" si="196"/>
        <v>343551</v>
      </c>
      <c r="V405" s="42">
        <v>343551</v>
      </c>
      <c r="W405" s="87">
        <v>0</v>
      </c>
      <c r="X405" s="1">
        <f t="shared" si="197"/>
        <v>52854</v>
      </c>
      <c r="Y405" s="30">
        <v>52854</v>
      </c>
      <c r="Z405" s="30">
        <v>0</v>
      </c>
      <c r="AA405" s="2">
        <f t="shared" si="198"/>
        <v>0</v>
      </c>
      <c r="AB405" s="51">
        <v>0</v>
      </c>
      <c r="AC405" s="51">
        <v>0</v>
      </c>
      <c r="AD405" s="16">
        <f t="shared" si="200"/>
        <v>2642700</v>
      </c>
      <c r="AE405" s="35">
        <v>0</v>
      </c>
      <c r="AF405" s="2">
        <f t="shared" si="202"/>
        <v>2642700</v>
      </c>
      <c r="AG405" s="38" t="s">
        <v>486</v>
      </c>
      <c r="AH405" s="38"/>
      <c r="AI405" s="30">
        <v>0</v>
      </c>
      <c r="AJ405" s="30">
        <v>0</v>
      </c>
    </row>
    <row r="406" spans="1:36" ht="166.5" customHeight="1" x14ac:dyDescent="0.25">
      <c r="A406" s="6">
        <v>403</v>
      </c>
      <c r="B406" s="31">
        <v>154663</v>
      </c>
      <c r="C406" s="31">
        <v>1162</v>
      </c>
      <c r="D406" s="9" t="s">
        <v>1638</v>
      </c>
      <c r="E406" s="24" t="s">
        <v>2012</v>
      </c>
      <c r="F406" s="11" t="s">
        <v>2122</v>
      </c>
      <c r="G406" s="31" t="s">
        <v>2121</v>
      </c>
      <c r="H406" s="8" t="s">
        <v>151</v>
      </c>
      <c r="I406" s="12" t="s">
        <v>2832</v>
      </c>
      <c r="J406" s="25">
        <v>44664</v>
      </c>
      <c r="K406" s="25">
        <v>45151</v>
      </c>
      <c r="L406" s="26">
        <f t="shared" si="201"/>
        <v>85.000000686904471</v>
      </c>
      <c r="M406" s="11">
        <v>3</v>
      </c>
      <c r="N406" s="11" t="s">
        <v>485</v>
      </c>
      <c r="O406" s="11" t="s">
        <v>2123</v>
      </c>
      <c r="P406" s="11" t="s">
        <v>174</v>
      </c>
      <c r="Q406" s="11" t="s">
        <v>460</v>
      </c>
      <c r="R406" s="1">
        <f t="shared" si="195"/>
        <v>2165512.25</v>
      </c>
      <c r="S406" s="42">
        <v>2165512.25</v>
      </c>
      <c r="T406" s="37">
        <v>0</v>
      </c>
      <c r="U406" s="1">
        <f t="shared" si="196"/>
        <v>331195.96999999997</v>
      </c>
      <c r="V406" s="42">
        <v>331195.96999999997</v>
      </c>
      <c r="W406" s="87">
        <v>0</v>
      </c>
      <c r="X406" s="1">
        <f t="shared" si="197"/>
        <v>50953.23</v>
      </c>
      <c r="Y406" s="30">
        <v>50953.23</v>
      </c>
      <c r="Z406" s="30">
        <v>0</v>
      </c>
      <c r="AA406" s="2">
        <f t="shared" si="198"/>
        <v>0</v>
      </c>
      <c r="AB406" s="51">
        <v>0</v>
      </c>
      <c r="AC406" s="51">
        <v>0</v>
      </c>
      <c r="AD406" s="16">
        <f t="shared" si="200"/>
        <v>2547661.4499999997</v>
      </c>
      <c r="AE406" s="35">
        <v>0</v>
      </c>
      <c r="AF406" s="2">
        <f t="shared" si="202"/>
        <v>2547661.4499999997</v>
      </c>
      <c r="AG406" s="38" t="s">
        <v>486</v>
      </c>
      <c r="AH406" s="38"/>
      <c r="AI406" s="30">
        <v>0</v>
      </c>
      <c r="AJ406" s="30">
        <v>0</v>
      </c>
    </row>
    <row r="407" spans="1:36" ht="166.5" customHeight="1" x14ac:dyDescent="0.25">
      <c r="A407" s="6">
        <v>404</v>
      </c>
      <c r="B407" s="31">
        <v>155128</v>
      </c>
      <c r="C407" s="31">
        <v>1163</v>
      </c>
      <c r="D407" s="9" t="s">
        <v>1638</v>
      </c>
      <c r="E407" s="24" t="s">
        <v>2012</v>
      </c>
      <c r="F407" s="11" t="s">
        <v>2127</v>
      </c>
      <c r="G407" s="31" t="s">
        <v>2128</v>
      </c>
      <c r="H407" s="8" t="s">
        <v>151</v>
      </c>
      <c r="I407" s="12" t="s">
        <v>2833</v>
      </c>
      <c r="J407" s="25">
        <v>44662</v>
      </c>
      <c r="K407" s="25">
        <v>45149</v>
      </c>
      <c r="L407" s="26">
        <f t="shared" si="201"/>
        <v>85.000000429467406</v>
      </c>
      <c r="M407" s="11">
        <v>3</v>
      </c>
      <c r="N407" s="11" t="s">
        <v>485</v>
      </c>
      <c r="O407" s="11" t="s">
        <v>2129</v>
      </c>
      <c r="P407" s="11" t="s">
        <v>174</v>
      </c>
      <c r="Q407" s="11" t="s">
        <v>460</v>
      </c>
      <c r="R407" s="1">
        <f t="shared" si="195"/>
        <v>2177115.16</v>
      </c>
      <c r="S407" s="42">
        <v>2177115.16</v>
      </c>
      <c r="T407" s="37">
        <v>0</v>
      </c>
      <c r="U407" s="1">
        <f t="shared" si="196"/>
        <v>332970.53999999998</v>
      </c>
      <c r="V407" s="42">
        <v>332970.53999999998</v>
      </c>
      <c r="W407" s="87">
        <v>0</v>
      </c>
      <c r="X407" s="1">
        <f t="shared" si="197"/>
        <v>51226.239999999998</v>
      </c>
      <c r="Y407" s="30">
        <v>51226.239999999998</v>
      </c>
      <c r="Z407" s="30">
        <v>0</v>
      </c>
      <c r="AA407" s="2">
        <f t="shared" si="198"/>
        <v>0</v>
      </c>
      <c r="AB407" s="51">
        <v>0</v>
      </c>
      <c r="AC407" s="51">
        <v>0</v>
      </c>
      <c r="AD407" s="16">
        <f t="shared" si="200"/>
        <v>2561311.9400000004</v>
      </c>
      <c r="AE407" s="35">
        <v>0</v>
      </c>
      <c r="AF407" s="2">
        <f t="shared" si="202"/>
        <v>2561311.9400000004</v>
      </c>
      <c r="AG407" s="38" t="s">
        <v>486</v>
      </c>
      <c r="AH407" s="38"/>
      <c r="AI407" s="30">
        <f>40055.4+53407.2</f>
        <v>93462.6</v>
      </c>
      <c r="AJ407" s="30">
        <f>6126.12+8168.16</f>
        <v>14294.279999999999</v>
      </c>
    </row>
    <row r="408" spans="1:36" ht="166.5" customHeight="1" x14ac:dyDescent="0.25">
      <c r="A408" s="6">
        <v>405</v>
      </c>
      <c r="B408" s="31">
        <v>154660</v>
      </c>
      <c r="C408" s="31">
        <v>1161</v>
      </c>
      <c r="D408" s="9" t="s">
        <v>1638</v>
      </c>
      <c r="E408" s="24" t="s">
        <v>2012</v>
      </c>
      <c r="F408" s="11" t="s">
        <v>2133</v>
      </c>
      <c r="G408" s="31" t="s">
        <v>2132</v>
      </c>
      <c r="H408" s="8" t="s">
        <v>151</v>
      </c>
      <c r="I408" s="12" t="s">
        <v>2834</v>
      </c>
      <c r="J408" s="25">
        <v>44665</v>
      </c>
      <c r="K408" s="25">
        <v>45152</v>
      </c>
      <c r="L408" s="26">
        <f t="shared" si="201"/>
        <v>85.000000687225452</v>
      </c>
      <c r="M408" s="11">
        <v>3</v>
      </c>
      <c r="N408" s="11" t="s">
        <v>485</v>
      </c>
      <c r="O408" s="11" t="s">
        <v>2134</v>
      </c>
      <c r="P408" s="11" t="s">
        <v>174</v>
      </c>
      <c r="Q408" s="11" t="s">
        <v>460</v>
      </c>
      <c r="R408" s="1">
        <f t="shared" si="195"/>
        <v>2164500.75</v>
      </c>
      <c r="S408" s="42">
        <v>2164500.75</v>
      </c>
      <c r="T408" s="37">
        <v>0</v>
      </c>
      <c r="U408" s="1">
        <f t="shared" si="196"/>
        <v>331041.27</v>
      </c>
      <c r="V408" s="42">
        <v>331041.27</v>
      </c>
      <c r="W408" s="87">
        <v>0</v>
      </c>
      <c r="X408" s="1">
        <f t="shared" si="197"/>
        <v>50929.43</v>
      </c>
      <c r="Y408" s="30">
        <v>50929.43</v>
      </c>
      <c r="Z408" s="30">
        <v>0</v>
      </c>
      <c r="AA408" s="2">
        <f t="shared" si="198"/>
        <v>0</v>
      </c>
      <c r="AB408" s="51">
        <v>0</v>
      </c>
      <c r="AC408" s="51">
        <v>0</v>
      </c>
      <c r="AD408" s="16">
        <f t="shared" si="200"/>
        <v>2546471.4500000002</v>
      </c>
      <c r="AE408" s="35">
        <v>0</v>
      </c>
      <c r="AF408" s="2">
        <f t="shared" si="202"/>
        <v>2546471.4500000002</v>
      </c>
      <c r="AG408" s="38" t="s">
        <v>486</v>
      </c>
      <c r="AH408" s="38"/>
      <c r="AI408" s="30">
        <f>93462.6</f>
        <v>93462.6</v>
      </c>
      <c r="AJ408" s="30">
        <v>14294.28</v>
      </c>
    </row>
    <row r="409" spans="1:36" ht="141.75" customHeight="1" x14ac:dyDescent="0.25">
      <c r="A409" s="6">
        <v>406</v>
      </c>
      <c r="B409" s="31">
        <v>154763</v>
      </c>
      <c r="C409" s="31">
        <v>1215</v>
      </c>
      <c r="D409" s="9" t="s">
        <v>1638</v>
      </c>
      <c r="E409" s="24" t="s">
        <v>2012</v>
      </c>
      <c r="F409" s="11" t="s">
        <v>2139</v>
      </c>
      <c r="G409" s="31" t="s">
        <v>2138</v>
      </c>
      <c r="H409" s="8" t="s">
        <v>151</v>
      </c>
      <c r="I409" s="12" t="s">
        <v>2835</v>
      </c>
      <c r="J409" s="25">
        <v>44665</v>
      </c>
      <c r="K409" s="25">
        <v>45152</v>
      </c>
      <c r="L409" s="26">
        <f t="shared" si="201"/>
        <v>85</v>
      </c>
      <c r="M409" s="11">
        <v>3</v>
      </c>
      <c r="N409" s="11" t="s">
        <v>485</v>
      </c>
      <c r="O409" s="11" t="s">
        <v>2140</v>
      </c>
      <c r="P409" s="11" t="s">
        <v>174</v>
      </c>
      <c r="Q409" s="11" t="s">
        <v>460</v>
      </c>
      <c r="R409" s="1">
        <f t="shared" si="195"/>
        <v>1254107</v>
      </c>
      <c r="S409" s="42">
        <v>1254107</v>
      </c>
      <c r="T409" s="37">
        <v>0</v>
      </c>
      <c r="U409" s="1">
        <f t="shared" si="196"/>
        <v>191804.6</v>
      </c>
      <c r="V409" s="42">
        <v>191804.6</v>
      </c>
      <c r="W409" s="87">
        <v>0</v>
      </c>
      <c r="X409" s="1">
        <f>Y409+Z409</f>
        <v>29508.400000000001</v>
      </c>
      <c r="Y409" s="30">
        <v>29508.400000000001</v>
      </c>
      <c r="Z409" s="30">
        <v>0</v>
      </c>
      <c r="AA409" s="2">
        <f t="shared" si="198"/>
        <v>0</v>
      </c>
      <c r="AB409" s="51">
        <v>0</v>
      </c>
      <c r="AC409" s="51">
        <v>0</v>
      </c>
      <c r="AD409" s="16">
        <f t="shared" si="200"/>
        <v>1475420</v>
      </c>
      <c r="AE409" s="35">
        <v>0</v>
      </c>
      <c r="AF409" s="2">
        <f t="shared" si="202"/>
        <v>1475420</v>
      </c>
      <c r="AG409" s="38" t="s">
        <v>486</v>
      </c>
      <c r="AH409" s="38"/>
      <c r="AI409" s="30">
        <v>147000</v>
      </c>
      <c r="AJ409" s="30">
        <v>0</v>
      </c>
    </row>
    <row r="410" spans="1:36" ht="141.75" customHeight="1" x14ac:dyDescent="0.25">
      <c r="A410" s="6">
        <v>407</v>
      </c>
      <c r="B410" s="31">
        <v>154984</v>
      </c>
      <c r="C410" s="31">
        <v>1198</v>
      </c>
      <c r="D410" s="9" t="s">
        <v>1638</v>
      </c>
      <c r="E410" s="24" t="s">
        <v>2012</v>
      </c>
      <c r="F410" s="11" t="s">
        <v>2176</v>
      </c>
      <c r="G410" s="31" t="s">
        <v>2175</v>
      </c>
      <c r="H410" s="8" t="s">
        <v>151</v>
      </c>
      <c r="I410" s="12" t="s">
        <v>2836</v>
      </c>
      <c r="J410" s="25">
        <v>44680</v>
      </c>
      <c r="K410" s="25">
        <v>45167</v>
      </c>
      <c r="L410" s="26">
        <f t="shared" si="201"/>
        <v>85</v>
      </c>
      <c r="M410" s="11">
        <v>3</v>
      </c>
      <c r="N410" s="11" t="s">
        <v>485</v>
      </c>
      <c r="O410" s="11" t="s">
        <v>2177</v>
      </c>
      <c r="P410" s="11" t="s">
        <v>174</v>
      </c>
      <c r="Q410" s="11" t="s">
        <v>460</v>
      </c>
      <c r="R410" s="1">
        <f t="shared" si="195"/>
        <v>2246295</v>
      </c>
      <c r="S410" s="42">
        <v>2246295</v>
      </c>
      <c r="T410" s="37">
        <v>0</v>
      </c>
      <c r="U410" s="1">
        <f t="shared" si="196"/>
        <v>343551</v>
      </c>
      <c r="V410" s="42">
        <v>343551</v>
      </c>
      <c r="W410" s="87">
        <v>0</v>
      </c>
      <c r="X410" s="1">
        <f t="shared" si="197"/>
        <v>52854</v>
      </c>
      <c r="Y410" s="30">
        <v>52854</v>
      </c>
      <c r="Z410" s="30">
        <v>0</v>
      </c>
      <c r="AA410" s="2">
        <f t="shared" si="198"/>
        <v>0</v>
      </c>
      <c r="AB410" s="51">
        <v>0</v>
      </c>
      <c r="AC410" s="51">
        <v>0</v>
      </c>
      <c r="AD410" s="16">
        <f t="shared" si="200"/>
        <v>2642700</v>
      </c>
      <c r="AE410" s="35">
        <v>0</v>
      </c>
      <c r="AF410" s="2">
        <f t="shared" si="202"/>
        <v>2642700</v>
      </c>
      <c r="AG410" s="38" t="s">
        <v>486</v>
      </c>
      <c r="AH410" s="38"/>
      <c r="AI410" s="30">
        <v>0</v>
      </c>
      <c r="AJ410" s="30">
        <v>0</v>
      </c>
    </row>
    <row r="411" spans="1:36" ht="141.75" customHeight="1" x14ac:dyDescent="0.25">
      <c r="A411" s="6">
        <v>408</v>
      </c>
      <c r="B411" s="31">
        <v>155114</v>
      </c>
      <c r="C411" s="31">
        <v>1226</v>
      </c>
      <c r="D411" s="9" t="s">
        <v>1638</v>
      </c>
      <c r="E411" s="24" t="s">
        <v>2012</v>
      </c>
      <c r="F411" s="11" t="s">
        <v>2183</v>
      </c>
      <c r="G411" s="31" t="s">
        <v>520</v>
      </c>
      <c r="H411" s="8" t="s">
        <v>151</v>
      </c>
      <c r="I411" s="12" t="s">
        <v>2837</v>
      </c>
      <c r="J411" s="25">
        <v>44685</v>
      </c>
      <c r="K411" s="25">
        <v>45173</v>
      </c>
      <c r="L411" s="26">
        <f t="shared" si="201"/>
        <v>85.00000005274461</v>
      </c>
      <c r="M411" s="11">
        <v>3</v>
      </c>
      <c r="N411" s="11" t="s">
        <v>485</v>
      </c>
      <c r="O411" s="11" t="s">
        <v>485</v>
      </c>
      <c r="P411" s="11" t="s">
        <v>174</v>
      </c>
      <c r="Q411" s="11" t="s">
        <v>460</v>
      </c>
      <c r="R411" s="1">
        <f t="shared" si="195"/>
        <v>3223078.69</v>
      </c>
      <c r="S411" s="42">
        <v>3223078.69</v>
      </c>
      <c r="T411" s="37">
        <v>0</v>
      </c>
      <c r="U411" s="1">
        <f t="shared" si="196"/>
        <v>492941.44</v>
      </c>
      <c r="V411" s="42">
        <v>492941.44</v>
      </c>
      <c r="W411" s="87">
        <v>0</v>
      </c>
      <c r="X411" s="1">
        <f t="shared" si="197"/>
        <v>75837.149999999994</v>
      </c>
      <c r="Y411" s="30">
        <v>75837.149999999994</v>
      </c>
      <c r="Z411" s="30">
        <v>0</v>
      </c>
      <c r="AA411" s="2">
        <f t="shared" si="198"/>
        <v>0</v>
      </c>
      <c r="AB411" s="51">
        <v>0</v>
      </c>
      <c r="AC411" s="51">
        <v>0</v>
      </c>
      <c r="AD411" s="16">
        <f t="shared" si="200"/>
        <v>3791857.28</v>
      </c>
      <c r="AE411" s="35">
        <v>0</v>
      </c>
      <c r="AF411" s="2">
        <f t="shared" si="202"/>
        <v>3791857.28</v>
      </c>
      <c r="AG411" s="38" t="s">
        <v>486</v>
      </c>
      <c r="AH411" s="38"/>
      <c r="AI411" s="30">
        <v>0</v>
      </c>
      <c r="AJ411" s="30">
        <v>0</v>
      </c>
    </row>
    <row r="412" spans="1:36" ht="141.75" customHeight="1" x14ac:dyDescent="0.25">
      <c r="A412" s="6">
        <v>409</v>
      </c>
      <c r="B412" s="31">
        <v>154551</v>
      </c>
      <c r="C412" s="31">
        <v>1207</v>
      </c>
      <c r="D412" s="9" t="s">
        <v>1638</v>
      </c>
      <c r="E412" s="24" t="s">
        <v>2012</v>
      </c>
      <c r="F412" s="11" t="s">
        <v>2206</v>
      </c>
      <c r="G412" s="31" t="s">
        <v>1959</v>
      </c>
      <c r="H412" s="8" t="s">
        <v>151</v>
      </c>
      <c r="I412" s="12" t="s">
        <v>2838</v>
      </c>
      <c r="J412" s="25">
        <v>44697</v>
      </c>
      <c r="K412" s="25">
        <v>45185</v>
      </c>
      <c r="L412" s="26">
        <f t="shared" si="201"/>
        <v>85</v>
      </c>
      <c r="M412" s="11">
        <v>3</v>
      </c>
      <c r="N412" s="11" t="s">
        <v>485</v>
      </c>
      <c r="O412" s="11" t="s">
        <v>485</v>
      </c>
      <c r="P412" s="11" t="s">
        <v>174</v>
      </c>
      <c r="Q412" s="11" t="s">
        <v>460</v>
      </c>
      <c r="R412" s="1">
        <f t="shared" si="195"/>
        <v>2362902.25</v>
      </c>
      <c r="S412" s="42">
        <v>2362902.25</v>
      </c>
      <c r="T412" s="37">
        <v>0</v>
      </c>
      <c r="U412" s="1">
        <f t="shared" si="196"/>
        <v>361385.05</v>
      </c>
      <c r="V412" s="42">
        <v>361385.05</v>
      </c>
      <c r="W412" s="87">
        <v>0</v>
      </c>
      <c r="X412" s="1">
        <f t="shared" si="197"/>
        <v>55597.7</v>
      </c>
      <c r="Y412" s="30">
        <v>55597.7</v>
      </c>
      <c r="Z412" s="30">
        <v>0</v>
      </c>
      <c r="AA412" s="2">
        <f t="shared" si="198"/>
        <v>0</v>
      </c>
      <c r="AB412" s="51">
        <v>0</v>
      </c>
      <c r="AC412" s="51">
        <v>0</v>
      </c>
      <c r="AD412" s="16">
        <f t="shared" si="200"/>
        <v>2779885</v>
      </c>
      <c r="AE412" s="35">
        <v>0</v>
      </c>
      <c r="AF412" s="2">
        <f t="shared" si="202"/>
        <v>2779885</v>
      </c>
      <c r="AG412" s="38" t="s">
        <v>486</v>
      </c>
      <c r="AH412" s="38"/>
      <c r="AI412" s="30">
        <v>277988.5</v>
      </c>
      <c r="AJ412" s="30">
        <v>0</v>
      </c>
    </row>
    <row r="413" spans="1:36" ht="141.75" customHeight="1" x14ac:dyDescent="0.25">
      <c r="A413" s="6">
        <v>410</v>
      </c>
      <c r="B413" s="31">
        <v>155111</v>
      </c>
      <c r="C413" s="31">
        <v>1230</v>
      </c>
      <c r="D413" s="9" t="s">
        <v>1638</v>
      </c>
      <c r="E413" s="24" t="s">
        <v>2012</v>
      </c>
      <c r="F413" s="11" t="s">
        <v>2210</v>
      </c>
      <c r="G413" s="31" t="s">
        <v>2209</v>
      </c>
      <c r="H413" s="8" t="s">
        <v>151</v>
      </c>
      <c r="I413" s="12" t="s">
        <v>2839</v>
      </c>
      <c r="J413" s="25">
        <v>44700</v>
      </c>
      <c r="K413" s="25">
        <v>45188</v>
      </c>
      <c r="L413" s="26">
        <f t="shared" si="201"/>
        <v>85.000000242087992</v>
      </c>
      <c r="M413" s="11">
        <v>3</v>
      </c>
      <c r="N413" s="11" t="s">
        <v>485</v>
      </c>
      <c r="O413" s="11" t="s">
        <v>2211</v>
      </c>
      <c r="P413" s="11" t="s">
        <v>174</v>
      </c>
      <c r="Q413" s="11" t="s">
        <v>460</v>
      </c>
      <c r="R413" s="1">
        <f t="shared" si="195"/>
        <v>877780</v>
      </c>
      <c r="S413" s="42">
        <v>877780</v>
      </c>
      <c r="T413" s="37">
        <v>0</v>
      </c>
      <c r="U413" s="1">
        <f t="shared" si="196"/>
        <v>134248.70000000001</v>
      </c>
      <c r="V413" s="42">
        <v>134248.70000000001</v>
      </c>
      <c r="W413" s="87">
        <v>0</v>
      </c>
      <c r="X413" s="1">
        <f t="shared" si="197"/>
        <v>20653.650000000001</v>
      </c>
      <c r="Y413" s="30">
        <v>20653.650000000001</v>
      </c>
      <c r="Z413" s="30">
        <v>0</v>
      </c>
      <c r="AA413" s="2">
        <f t="shared" si="198"/>
        <v>0</v>
      </c>
      <c r="AB413" s="51">
        <v>0</v>
      </c>
      <c r="AC413" s="51">
        <v>0</v>
      </c>
      <c r="AD413" s="16">
        <f t="shared" si="200"/>
        <v>1032682.35</v>
      </c>
      <c r="AE413" s="35">
        <v>0</v>
      </c>
      <c r="AF413" s="2">
        <f t="shared" si="202"/>
        <v>1032682.35</v>
      </c>
      <c r="AG413" s="38" t="s">
        <v>486</v>
      </c>
      <c r="AH413" s="38"/>
      <c r="AI413" s="30">
        <v>0</v>
      </c>
      <c r="AJ413" s="30">
        <v>0</v>
      </c>
    </row>
    <row r="414" spans="1:36" ht="141.75" customHeight="1" x14ac:dyDescent="0.25">
      <c r="A414" s="6">
        <v>411</v>
      </c>
      <c r="B414" s="31">
        <v>154658</v>
      </c>
      <c r="C414" s="31">
        <v>1211</v>
      </c>
      <c r="D414" s="9" t="s">
        <v>1638</v>
      </c>
      <c r="E414" s="24" t="s">
        <v>2012</v>
      </c>
      <c r="F414" s="11" t="s">
        <v>2228</v>
      </c>
      <c r="G414" s="31" t="s">
        <v>2227</v>
      </c>
      <c r="H414" s="8" t="s">
        <v>151</v>
      </c>
      <c r="I414" s="12" t="s">
        <v>2230</v>
      </c>
      <c r="J414" s="25">
        <v>44708</v>
      </c>
      <c r="K414" s="25">
        <v>45196</v>
      </c>
      <c r="L414" s="26">
        <f t="shared" si="201"/>
        <v>85</v>
      </c>
      <c r="M414" s="11">
        <v>3</v>
      </c>
      <c r="N414" s="11" t="s">
        <v>485</v>
      </c>
      <c r="O414" s="11" t="s">
        <v>2229</v>
      </c>
      <c r="P414" s="11" t="s">
        <v>174</v>
      </c>
      <c r="Q414" s="11" t="s">
        <v>460</v>
      </c>
      <c r="R414" s="1">
        <f t="shared" si="195"/>
        <v>2107541</v>
      </c>
      <c r="S414" s="42">
        <v>2107541</v>
      </c>
      <c r="T414" s="37">
        <v>0</v>
      </c>
      <c r="U414" s="1">
        <f t="shared" si="196"/>
        <v>322329.8</v>
      </c>
      <c r="V414" s="42">
        <v>322329.8</v>
      </c>
      <c r="W414" s="87">
        <v>0</v>
      </c>
      <c r="X414" s="1">
        <f t="shared" si="197"/>
        <v>49589.2</v>
      </c>
      <c r="Y414" s="30">
        <v>49589.2</v>
      </c>
      <c r="Z414" s="30">
        <v>0</v>
      </c>
      <c r="AA414" s="2">
        <f t="shared" si="198"/>
        <v>0</v>
      </c>
      <c r="AB414" s="51">
        <v>0</v>
      </c>
      <c r="AC414" s="51">
        <v>0</v>
      </c>
      <c r="AD414" s="16">
        <f t="shared" si="200"/>
        <v>2479460</v>
      </c>
      <c r="AE414" s="35">
        <v>0</v>
      </c>
      <c r="AF414" s="2">
        <f t="shared" si="202"/>
        <v>2479460</v>
      </c>
      <c r="AG414" s="38" t="s">
        <v>486</v>
      </c>
      <c r="AH414" s="38"/>
      <c r="AI414" s="30">
        <v>200000</v>
      </c>
      <c r="AJ414" s="30">
        <v>0</v>
      </c>
    </row>
    <row r="415" spans="1:36" ht="141.75" customHeight="1" x14ac:dyDescent="0.25">
      <c r="A415" s="6">
        <v>412</v>
      </c>
      <c r="B415" s="31">
        <v>154721</v>
      </c>
      <c r="C415" s="31">
        <v>1209</v>
      </c>
      <c r="D415" s="9" t="s">
        <v>1638</v>
      </c>
      <c r="E415" s="24" t="s">
        <v>2012</v>
      </c>
      <c r="F415" s="11" t="s">
        <v>2232</v>
      </c>
      <c r="G415" s="31" t="s">
        <v>2231</v>
      </c>
      <c r="H415" s="8" t="s">
        <v>151</v>
      </c>
      <c r="I415" s="12" t="s">
        <v>2840</v>
      </c>
      <c r="J415" s="25">
        <v>44712</v>
      </c>
      <c r="K415" s="25">
        <v>45199</v>
      </c>
      <c r="L415" s="26">
        <f t="shared" si="201"/>
        <v>85</v>
      </c>
      <c r="M415" s="11">
        <v>3</v>
      </c>
      <c r="N415" s="11" t="s">
        <v>485</v>
      </c>
      <c r="O415" s="11" t="s">
        <v>2233</v>
      </c>
      <c r="P415" s="11" t="s">
        <v>174</v>
      </c>
      <c r="Q415" s="11" t="s">
        <v>460</v>
      </c>
      <c r="R415" s="1">
        <f t="shared" si="195"/>
        <v>2189472.5</v>
      </c>
      <c r="S415" s="42">
        <v>2189472.5</v>
      </c>
      <c r="T415" s="37"/>
      <c r="U415" s="1">
        <f t="shared" si="196"/>
        <v>334860.5</v>
      </c>
      <c r="V415" s="42">
        <v>334860.5</v>
      </c>
      <c r="W415" s="87">
        <v>0</v>
      </c>
      <c r="X415" s="1">
        <f t="shared" si="197"/>
        <v>51517</v>
      </c>
      <c r="Y415" s="30">
        <v>51517</v>
      </c>
      <c r="Z415" s="30">
        <v>0</v>
      </c>
      <c r="AA415" s="2">
        <f t="shared" si="198"/>
        <v>0</v>
      </c>
      <c r="AB415" s="51">
        <v>0</v>
      </c>
      <c r="AC415" s="51">
        <v>0</v>
      </c>
      <c r="AD415" s="16">
        <f t="shared" si="200"/>
        <v>2575850</v>
      </c>
      <c r="AE415" s="35">
        <v>0</v>
      </c>
      <c r="AF415" s="2">
        <f t="shared" si="202"/>
        <v>2575850</v>
      </c>
      <c r="AG415" s="38" t="s">
        <v>486</v>
      </c>
      <c r="AH415" s="38"/>
      <c r="AI415" s="30">
        <v>257585</v>
      </c>
      <c r="AJ415" s="30">
        <v>0</v>
      </c>
    </row>
    <row r="416" spans="1:36" ht="220.5" x14ac:dyDescent="0.25">
      <c r="A416" s="6">
        <v>413</v>
      </c>
      <c r="B416" s="31">
        <v>119720</v>
      </c>
      <c r="C416" s="11">
        <v>481</v>
      </c>
      <c r="D416" s="9" t="s">
        <v>1638</v>
      </c>
      <c r="E416" s="11" t="s">
        <v>457</v>
      </c>
      <c r="F416" s="11" t="s">
        <v>487</v>
      </c>
      <c r="G416" s="11" t="s">
        <v>488</v>
      </c>
      <c r="H416" s="8" t="s">
        <v>151</v>
      </c>
      <c r="I416" s="46" t="s">
        <v>2841</v>
      </c>
      <c r="J416" s="25">
        <v>43264</v>
      </c>
      <c r="K416" s="25">
        <v>44056</v>
      </c>
      <c r="L416" s="26">
        <f t="shared" ref="L416:L425" si="203">R416/AD416*100</f>
        <v>85.00000159999999</v>
      </c>
      <c r="M416" s="40">
        <v>3</v>
      </c>
      <c r="N416" s="11" t="s">
        <v>1568</v>
      </c>
      <c r="O416" s="11" t="s">
        <v>489</v>
      </c>
      <c r="P416" s="11" t="s">
        <v>174</v>
      </c>
      <c r="Q416" s="11" t="s">
        <v>460</v>
      </c>
      <c r="R416" s="1">
        <f t="shared" ref="R416:R425" si="204">S416+T416</f>
        <v>531250.01</v>
      </c>
      <c r="S416" s="37">
        <v>531250.01</v>
      </c>
      <c r="T416" s="37">
        <v>0</v>
      </c>
      <c r="U416" s="1">
        <f t="shared" ref="U416:U425" si="205">V416+W416</f>
        <v>81249.989999999991</v>
      </c>
      <c r="V416" s="42">
        <v>81249.989999999991</v>
      </c>
      <c r="W416" s="42">
        <v>0</v>
      </c>
      <c r="X416" s="1">
        <f t="shared" ref="X416:X425" si="206">Y416+Z416</f>
        <v>12500</v>
      </c>
      <c r="Y416" s="30">
        <v>12500</v>
      </c>
      <c r="Z416" s="30">
        <v>0</v>
      </c>
      <c r="AA416" s="2">
        <f t="shared" ref="AA416:AA425" si="207">AB416+AC416</f>
        <v>0</v>
      </c>
      <c r="AB416" s="41">
        <v>0</v>
      </c>
      <c r="AC416" s="41">
        <v>0</v>
      </c>
      <c r="AD416" s="16">
        <f t="shared" si="200"/>
        <v>625000</v>
      </c>
      <c r="AE416" s="37">
        <v>19813.5</v>
      </c>
      <c r="AF416" s="2">
        <f t="shared" ref="AF416:AF425" si="208">AD416+AE416</f>
        <v>644813.5</v>
      </c>
      <c r="AG416" s="38" t="s">
        <v>857</v>
      </c>
      <c r="AH416" s="38" t="s">
        <v>1332</v>
      </c>
      <c r="AI416" s="118">
        <f>266726.48+117536.39+35965.91</f>
        <v>420228.78</v>
      </c>
      <c r="AJ416" s="30">
        <f>40793.44+17976.15+5500.66</f>
        <v>64270.25</v>
      </c>
    </row>
    <row r="417" spans="1:36" ht="307.5" customHeight="1" x14ac:dyDescent="0.25">
      <c r="A417" s="6">
        <v>414</v>
      </c>
      <c r="B417" s="31">
        <v>118770</v>
      </c>
      <c r="C417" s="11">
        <v>440</v>
      </c>
      <c r="D417" s="32" t="s">
        <v>1639</v>
      </c>
      <c r="E417" s="32" t="s">
        <v>507</v>
      </c>
      <c r="F417" s="11" t="s">
        <v>722</v>
      </c>
      <c r="G417" s="11" t="s">
        <v>723</v>
      </c>
      <c r="H417" s="8" t="s">
        <v>151</v>
      </c>
      <c r="I417" s="32" t="s">
        <v>725</v>
      </c>
      <c r="J417" s="25">
        <v>43318</v>
      </c>
      <c r="K417" s="25">
        <v>43683</v>
      </c>
      <c r="L417" s="26">
        <f t="shared" si="203"/>
        <v>85</v>
      </c>
      <c r="M417" s="11">
        <v>3</v>
      </c>
      <c r="N417" s="11" t="s">
        <v>1568</v>
      </c>
      <c r="O417" s="11" t="s">
        <v>724</v>
      </c>
      <c r="P417" s="11" t="s">
        <v>174</v>
      </c>
      <c r="Q417" s="11" t="s">
        <v>460</v>
      </c>
      <c r="R417" s="1">
        <f t="shared" si="204"/>
        <v>254981.3</v>
      </c>
      <c r="S417" s="30">
        <v>254981.3</v>
      </c>
      <c r="T417" s="41">
        <v>0</v>
      </c>
      <c r="U417" s="1">
        <f t="shared" si="205"/>
        <v>38997.14</v>
      </c>
      <c r="V417" s="42">
        <v>38997.14</v>
      </c>
      <c r="W417" s="42">
        <v>0</v>
      </c>
      <c r="X417" s="1">
        <f t="shared" si="206"/>
        <v>5999.56</v>
      </c>
      <c r="Y417" s="30">
        <v>5999.56</v>
      </c>
      <c r="Z417" s="30">
        <v>0</v>
      </c>
      <c r="AA417" s="2">
        <f t="shared" si="207"/>
        <v>0</v>
      </c>
      <c r="AB417" s="41">
        <v>0</v>
      </c>
      <c r="AC417" s="41">
        <v>0</v>
      </c>
      <c r="AD417" s="16">
        <f t="shared" si="200"/>
        <v>299978</v>
      </c>
      <c r="AE417" s="38">
        <v>0</v>
      </c>
      <c r="AF417" s="2">
        <f t="shared" si="208"/>
        <v>299978</v>
      </c>
      <c r="AG417" s="21" t="s">
        <v>857</v>
      </c>
      <c r="AH417" s="38" t="s">
        <v>997</v>
      </c>
      <c r="AI417" s="118">
        <v>213387.11000000002</v>
      </c>
      <c r="AJ417" s="118">
        <v>32635.670000000002</v>
      </c>
    </row>
    <row r="418" spans="1:36" ht="220.5" x14ac:dyDescent="0.25">
      <c r="A418" s="6">
        <v>415</v>
      </c>
      <c r="B418" s="31">
        <v>126498</v>
      </c>
      <c r="C418" s="11">
        <v>572</v>
      </c>
      <c r="D418" s="9" t="s">
        <v>1638</v>
      </c>
      <c r="E418" s="32" t="s">
        <v>899</v>
      </c>
      <c r="F418" s="11" t="s">
        <v>1022</v>
      </c>
      <c r="G418" s="11" t="s">
        <v>723</v>
      </c>
      <c r="H418" s="8" t="s">
        <v>151</v>
      </c>
      <c r="I418" s="32" t="s">
        <v>2842</v>
      </c>
      <c r="J418" s="25">
        <v>43552</v>
      </c>
      <c r="K418" s="25">
        <v>44467</v>
      </c>
      <c r="L418" s="26">
        <f t="shared" si="203"/>
        <v>85.000000127055301</v>
      </c>
      <c r="M418" s="11">
        <v>3</v>
      </c>
      <c r="N418" s="11" t="s">
        <v>1568</v>
      </c>
      <c r="O418" s="11" t="s">
        <v>724</v>
      </c>
      <c r="P418" s="11" t="s">
        <v>174</v>
      </c>
      <c r="Q418" s="11" t="s">
        <v>460</v>
      </c>
      <c r="R418" s="1">
        <f t="shared" si="204"/>
        <v>3345000.16</v>
      </c>
      <c r="S418" s="30">
        <v>3345000.16</v>
      </c>
      <c r="T418" s="41">
        <v>0</v>
      </c>
      <c r="U418" s="1">
        <f t="shared" si="205"/>
        <v>516462.97</v>
      </c>
      <c r="V418" s="42">
        <v>516462.97</v>
      </c>
      <c r="W418" s="42">
        <v>0</v>
      </c>
      <c r="X418" s="1">
        <f t="shared" si="206"/>
        <v>73831.17</v>
      </c>
      <c r="Y418" s="30">
        <v>73831.17</v>
      </c>
      <c r="Z418" s="30">
        <v>0</v>
      </c>
      <c r="AA418" s="2">
        <f t="shared" si="207"/>
        <v>0</v>
      </c>
      <c r="AB418" s="41">
        <v>0</v>
      </c>
      <c r="AC418" s="41">
        <v>0</v>
      </c>
      <c r="AD418" s="16">
        <f t="shared" si="200"/>
        <v>3935294.3</v>
      </c>
      <c r="AE418" s="38">
        <v>4974.2</v>
      </c>
      <c r="AF418" s="2">
        <f t="shared" si="208"/>
        <v>3940268.5</v>
      </c>
      <c r="AG418" s="38" t="s">
        <v>857</v>
      </c>
      <c r="AH418" s="38" t="s">
        <v>997</v>
      </c>
      <c r="AI418" s="118">
        <f>81729.2+65676.7+875554.4+122189.2+2128398.3+6170.15</f>
        <v>3279717.9499999997</v>
      </c>
      <c r="AJ418" s="118">
        <f>12499.76+10044.67+133908.32+18687.76+325519.74+943.67</f>
        <v>501603.92</v>
      </c>
    </row>
    <row r="419" spans="1:36" ht="265.5" customHeight="1" x14ac:dyDescent="0.25">
      <c r="A419" s="6">
        <v>416</v>
      </c>
      <c r="B419" s="31">
        <v>126289</v>
      </c>
      <c r="C419" s="11">
        <v>492</v>
      </c>
      <c r="D419" s="9" t="s">
        <v>1638</v>
      </c>
      <c r="E419" s="32" t="s">
        <v>899</v>
      </c>
      <c r="F419" s="11" t="s">
        <v>1038</v>
      </c>
      <c r="G419" s="11" t="s">
        <v>1039</v>
      </c>
      <c r="H419" s="8" t="s">
        <v>151</v>
      </c>
      <c r="I419" s="32" t="s">
        <v>2843</v>
      </c>
      <c r="J419" s="25">
        <v>43563</v>
      </c>
      <c r="K419" s="25">
        <v>44477</v>
      </c>
      <c r="L419" s="26">
        <f t="shared" si="203"/>
        <v>85.000000203645214</v>
      </c>
      <c r="M419" s="40">
        <v>3</v>
      </c>
      <c r="N419" s="11" t="s">
        <v>1568</v>
      </c>
      <c r="O419" s="11" t="s">
        <v>489</v>
      </c>
      <c r="P419" s="11" t="s">
        <v>174</v>
      </c>
      <c r="Q419" s="11" t="s">
        <v>34</v>
      </c>
      <c r="R419" s="1">
        <f t="shared" si="204"/>
        <v>2504355.21</v>
      </c>
      <c r="S419" s="2">
        <v>2504355.21</v>
      </c>
      <c r="T419" s="2">
        <v>0</v>
      </c>
      <c r="U419" s="1">
        <f t="shared" si="205"/>
        <v>383019.03</v>
      </c>
      <c r="V419" s="28">
        <v>383019.03</v>
      </c>
      <c r="W419" s="28">
        <v>0</v>
      </c>
      <c r="X419" s="1">
        <f t="shared" si="206"/>
        <v>58926</v>
      </c>
      <c r="Y419" s="2">
        <v>58926</v>
      </c>
      <c r="Z419" s="2">
        <v>0</v>
      </c>
      <c r="AA419" s="2">
        <f t="shared" si="207"/>
        <v>0</v>
      </c>
      <c r="AB419" s="2">
        <v>0</v>
      </c>
      <c r="AC419" s="2">
        <v>0</v>
      </c>
      <c r="AD419" s="16">
        <f t="shared" si="200"/>
        <v>2946300.24</v>
      </c>
      <c r="AE419" s="2">
        <v>3255.78</v>
      </c>
      <c r="AF419" s="2">
        <f t="shared" si="208"/>
        <v>2949556.02</v>
      </c>
      <c r="AG419" s="38" t="s">
        <v>857</v>
      </c>
      <c r="AH419" s="35"/>
      <c r="AI419" s="118">
        <f>4165.36+806216.08+307283.93+337406.26+123150.13</f>
        <v>1578221.7599999998</v>
      </c>
      <c r="AJ419" s="118">
        <f>637.05+123303.63+46996.36+51603.31+18834.72</f>
        <v>241375.07</v>
      </c>
    </row>
    <row r="420" spans="1:36" ht="236.25" x14ac:dyDescent="0.25">
      <c r="A420" s="6">
        <v>417</v>
      </c>
      <c r="B420" s="31">
        <v>135121</v>
      </c>
      <c r="C420" s="11">
        <v>804</v>
      </c>
      <c r="D420" s="9" t="s">
        <v>1638</v>
      </c>
      <c r="E420" s="24" t="s">
        <v>1441</v>
      </c>
      <c r="F420" s="31" t="s">
        <v>1455</v>
      </c>
      <c r="G420" s="11" t="s">
        <v>1039</v>
      </c>
      <c r="H420" s="8" t="s">
        <v>151</v>
      </c>
      <c r="I420" s="32" t="s">
        <v>2844</v>
      </c>
      <c r="J420" s="25">
        <v>43959</v>
      </c>
      <c r="K420" s="25">
        <v>44934</v>
      </c>
      <c r="L420" s="26">
        <f t="shared" si="203"/>
        <v>85</v>
      </c>
      <c r="M420" s="40">
        <v>3</v>
      </c>
      <c r="N420" s="11" t="s">
        <v>1568</v>
      </c>
      <c r="O420" s="11" t="s">
        <v>489</v>
      </c>
      <c r="P420" s="27" t="s">
        <v>174</v>
      </c>
      <c r="Q420" s="11" t="s">
        <v>34</v>
      </c>
      <c r="R420" s="1">
        <f t="shared" si="204"/>
        <v>2517623.5</v>
      </c>
      <c r="S420" s="2">
        <v>2517623.5</v>
      </c>
      <c r="T420" s="2">
        <v>0</v>
      </c>
      <c r="U420" s="1">
        <f t="shared" si="205"/>
        <v>385048.3</v>
      </c>
      <c r="V420" s="28">
        <v>385048.3</v>
      </c>
      <c r="W420" s="28">
        <v>0</v>
      </c>
      <c r="X420" s="1">
        <f t="shared" si="206"/>
        <v>59238.2</v>
      </c>
      <c r="Y420" s="2">
        <v>59238.2</v>
      </c>
      <c r="Z420" s="2">
        <v>0</v>
      </c>
      <c r="AA420" s="2">
        <f t="shared" si="207"/>
        <v>0</v>
      </c>
      <c r="AB420" s="2">
        <v>0</v>
      </c>
      <c r="AC420" s="2">
        <v>0</v>
      </c>
      <c r="AD420" s="16">
        <f t="shared" si="200"/>
        <v>2961910</v>
      </c>
      <c r="AE420" s="2">
        <v>0</v>
      </c>
      <c r="AF420" s="2">
        <f t="shared" si="208"/>
        <v>2961910</v>
      </c>
      <c r="AG420" s="38" t="s">
        <v>486</v>
      </c>
      <c r="AH420" s="29" t="s">
        <v>3298</v>
      </c>
      <c r="AI420" s="118">
        <v>29444.76</v>
      </c>
      <c r="AJ420" s="118">
        <v>4503.32</v>
      </c>
    </row>
    <row r="421" spans="1:36" ht="189" x14ac:dyDescent="0.25">
      <c r="A421" s="6">
        <v>418</v>
      </c>
      <c r="B421" s="31">
        <v>135860</v>
      </c>
      <c r="C421" s="11">
        <v>811</v>
      </c>
      <c r="D421" s="9" t="s">
        <v>1638</v>
      </c>
      <c r="E421" s="24" t="s">
        <v>1441</v>
      </c>
      <c r="F421" s="31" t="s">
        <v>1567</v>
      </c>
      <c r="G421" s="11" t="s">
        <v>488</v>
      </c>
      <c r="H421" s="8" t="s">
        <v>151</v>
      </c>
      <c r="I421" s="32" t="s">
        <v>2845</v>
      </c>
      <c r="J421" s="25">
        <v>44018</v>
      </c>
      <c r="K421" s="25">
        <v>44932</v>
      </c>
      <c r="L421" s="26">
        <f t="shared" si="203"/>
        <v>85</v>
      </c>
      <c r="M421" s="40">
        <v>3</v>
      </c>
      <c r="N421" s="11" t="s">
        <v>1568</v>
      </c>
      <c r="O421" s="11" t="s">
        <v>1568</v>
      </c>
      <c r="P421" s="27" t="s">
        <v>174</v>
      </c>
      <c r="Q421" s="11" t="s">
        <v>34</v>
      </c>
      <c r="R421" s="1">
        <f t="shared" si="204"/>
        <v>3388860.75</v>
      </c>
      <c r="S421" s="2">
        <v>3388860.75</v>
      </c>
      <c r="T421" s="2">
        <v>0</v>
      </c>
      <c r="U421" s="1">
        <f t="shared" si="205"/>
        <v>518296.35</v>
      </c>
      <c r="V421" s="28">
        <v>518296.35</v>
      </c>
      <c r="W421" s="28">
        <v>0</v>
      </c>
      <c r="X421" s="1">
        <f t="shared" si="206"/>
        <v>79737.899999999994</v>
      </c>
      <c r="Y421" s="2">
        <v>79737.899999999994</v>
      </c>
      <c r="Z421" s="2">
        <v>0</v>
      </c>
      <c r="AA421" s="2">
        <f t="shared" si="207"/>
        <v>0</v>
      </c>
      <c r="AB421" s="2">
        <v>0</v>
      </c>
      <c r="AC421" s="2">
        <v>0</v>
      </c>
      <c r="AD421" s="16">
        <f t="shared" si="200"/>
        <v>3986895</v>
      </c>
      <c r="AE421" s="2">
        <v>0</v>
      </c>
      <c r="AF421" s="2">
        <f t="shared" si="208"/>
        <v>3986895</v>
      </c>
      <c r="AG421" s="38" t="s">
        <v>486</v>
      </c>
      <c r="AH421" s="29"/>
      <c r="AI421" s="118">
        <f>139842.93+110534+52909.1+64051.41</f>
        <v>367337.43999999994</v>
      </c>
      <c r="AJ421" s="118">
        <f>21387.74+16905.2+8091.98+9796.1</f>
        <v>56181.02</v>
      </c>
    </row>
    <row r="422" spans="1:36" ht="330.75" x14ac:dyDescent="0.25">
      <c r="A422" s="6">
        <v>419</v>
      </c>
      <c r="B422" s="31">
        <v>136188</v>
      </c>
      <c r="C422" s="11">
        <v>842</v>
      </c>
      <c r="D422" s="9" t="s">
        <v>1638</v>
      </c>
      <c r="E422" s="24" t="s">
        <v>1441</v>
      </c>
      <c r="F422" s="31" t="s">
        <v>1595</v>
      </c>
      <c r="G422" s="11" t="s">
        <v>723</v>
      </c>
      <c r="H422" s="8" t="s">
        <v>151</v>
      </c>
      <c r="I422" s="32" t="s">
        <v>2846</v>
      </c>
      <c r="J422" s="25">
        <v>44039</v>
      </c>
      <c r="K422" s="25">
        <v>44922</v>
      </c>
      <c r="L422" s="26">
        <f t="shared" si="203"/>
        <v>84.999999881414638</v>
      </c>
      <c r="M422" s="40">
        <v>3</v>
      </c>
      <c r="N422" s="11" t="s">
        <v>1568</v>
      </c>
      <c r="O422" s="11" t="s">
        <v>724</v>
      </c>
      <c r="P422" s="27" t="s">
        <v>174</v>
      </c>
      <c r="Q422" s="11" t="s">
        <v>34</v>
      </c>
      <c r="R422" s="1">
        <f t="shared" si="204"/>
        <v>2150349.87</v>
      </c>
      <c r="S422" s="2">
        <v>2150349.87</v>
      </c>
      <c r="T422" s="2">
        <v>0</v>
      </c>
      <c r="U422" s="1">
        <f t="shared" si="205"/>
        <v>328877.03999999998</v>
      </c>
      <c r="V422" s="28">
        <v>328877.03999999998</v>
      </c>
      <c r="W422" s="28">
        <v>0</v>
      </c>
      <c r="X422" s="1">
        <f t="shared" si="206"/>
        <v>50596.47</v>
      </c>
      <c r="Y422" s="2">
        <v>50596.47</v>
      </c>
      <c r="Z422" s="2">
        <v>0</v>
      </c>
      <c r="AA422" s="2">
        <f t="shared" si="207"/>
        <v>0</v>
      </c>
      <c r="AB422" s="2">
        <v>0</v>
      </c>
      <c r="AC422" s="2">
        <v>0</v>
      </c>
      <c r="AD422" s="16">
        <f t="shared" si="200"/>
        <v>2529823.3800000004</v>
      </c>
      <c r="AE422" s="2">
        <v>0</v>
      </c>
      <c r="AF422" s="2">
        <f t="shared" si="208"/>
        <v>2529823.3800000004</v>
      </c>
      <c r="AG422" s="38" t="s">
        <v>486</v>
      </c>
      <c r="AH422" s="29"/>
      <c r="AI422" s="118">
        <f>60942.87+45517.5+214478.46+518737.66+1090477.92</f>
        <v>1930154.41</v>
      </c>
      <c r="AJ422" s="118">
        <f>9320.68+6961.5+32802.59+79336.35+166778.98</f>
        <v>295200.09999999998</v>
      </c>
    </row>
    <row r="423" spans="1:36" ht="204.75" x14ac:dyDescent="0.25">
      <c r="A423" s="6">
        <v>420</v>
      </c>
      <c r="B423" s="31">
        <v>152017</v>
      </c>
      <c r="C423" s="11">
        <v>1127</v>
      </c>
      <c r="D423" s="9" t="s">
        <v>1639</v>
      </c>
      <c r="E423" s="24" t="s">
        <v>1801</v>
      </c>
      <c r="F423" s="31" t="s">
        <v>1856</v>
      </c>
      <c r="G423" s="11" t="s">
        <v>1039</v>
      </c>
      <c r="H423" s="8" t="s">
        <v>151</v>
      </c>
      <c r="I423" s="32" t="s">
        <v>2847</v>
      </c>
      <c r="J423" s="25">
        <v>44504</v>
      </c>
      <c r="K423" s="25">
        <v>44989</v>
      </c>
      <c r="L423" s="26">
        <f t="shared" si="203"/>
        <v>85.000003161665433</v>
      </c>
      <c r="M423" s="40">
        <v>3</v>
      </c>
      <c r="N423" s="11" t="s">
        <v>1568</v>
      </c>
      <c r="O423" s="11" t="s">
        <v>489</v>
      </c>
      <c r="P423" s="27" t="s">
        <v>174</v>
      </c>
      <c r="Q423" s="11" t="s">
        <v>34</v>
      </c>
      <c r="R423" s="1">
        <f t="shared" si="204"/>
        <v>268845.65999999997</v>
      </c>
      <c r="S423" s="2">
        <v>268845.65999999997</v>
      </c>
      <c r="T423" s="2">
        <v>0</v>
      </c>
      <c r="U423" s="1">
        <f t="shared" si="205"/>
        <v>41117.56</v>
      </c>
      <c r="V423" s="28">
        <v>41117.56</v>
      </c>
      <c r="W423" s="28">
        <v>0</v>
      </c>
      <c r="X423" s="1">
        <f t="shared" si="206"/>
        <v>6325.78</v>
      </c>
      <c r="Y423" s="2">
        <v>6325.78</v>
      </c>
      <c r="Z423" s="2">
        <v>0</v>
      </c>
      <c r="AA423" s="2">
        <f t="shared" si="207"/>
        <v>0</v>
      </c>
      <c r="AB423" s="2">
        <v>0</v>
      </c>
      <c r="AC423" s="2">
        <v>0</v>
      </c>
      <c r="AD423" s="16">
        <f t="shared" si="200"/>
        <v>316289</v>
      </c>
      <c r="AE423" s="2">
        <v>0</v>
      </c>
      <c r="AF423" s="2">
        <f t="shared" si="208"/>
        <v>316289</v>
      </c>
      <c r="AG423" s="38" t="s">
        <v>486</v>
      </c>
      <c r="AH423" s="29"/>
      <c r="AI423" s="118">
        <v>0</v>
      </c>
      <c r="AJ423" s="118">
        <v>0</v>
      </c>
    </row>
    <row r="424" spans="1:36" ht="236.25" x14ac:dyDescent="0.25">
      <c r="A424" s="6">
        <v>421</v>
      </c>
      <c r="B424" s="31">
        <v>152079</v>
      </c>
      <c r="C424" s="11">
        <v>1129</v>
      </c>
      <c r="D424" s="9" t="s">
        <v>1639</v>
      </c>
      <c r="E424" s="24" t="s">
        <v>1801</v>
      </c>
      <c r="F424" s="31" t="s">
        <v>1863</v>
      </c>
      <c r="G424" s="11" t="s">
        <v>488</v>
      </c>
      <c r="H424" s="11" t="s">
        <v>1827</v>
      </c>
      <c r="I424" s="32" t="s">
        <v>1864</v>
      </c>
      <c r="J424" s="25">
        <v>44516</v>
      </c>
      <c r="K424" s="25">
        <v>45001</v>
      </c>
      <c r="L424" s="26">
        <f t="shared" si="203"/>
        <v>85.000002409748873</v>
      </c>
      <c r="M424" s="40">
        <v>3</v>
      </c>
      <c r="N424" s="11" t="s">
        <v>1568</v>
      </c>
      <c r="O424" s="11" t="s">
        <v>489</v>
      </c>
      <c r="P424" s="27" t="s">
        <v>174</v>
      </c>
      <c r="Q424" s="11" t="s">
        <v>34</v>
      </c>
      <c r="R424" s="1">
        <f t="shared" si="204"/>
        <v>352733.86</v>
      </c>
      <c r="S424" s="2">
        <v>352733.86</v>
      </c>
      <c r="T424" s="2">
        <v>0</v>
      </c>
      <c r="U424" s="1">
        <f t="shared" si="205"/>
        <v>46261.27</v>
      </c>
      <c r="V424" s="28">
        <v>46261.27</v>
      </c>
      <c r="W424" s="28">
        <v>0</v>
      </c>
      <c r="X424" s="1">
        <f t="shared" si="206"/>
        <v>15985.87</v>
      </c>
      <c r="Y424" s="2">
        <v>15985.87</v>
      </c>
      <c r="Z424" s="2">
        <v>0</v>
      </c>
      <c r="AA424" s="2">
        <f t="shared" si="207"/>
        <v>0</v>
      </c>
      <c r="AB424" s="2">
        <v>0</v>
      </c>
      <c r="AC424" s="2">
        <v>0</v>
      </c>
      <c r="AD424" s="16">
        <f t="shared" si="200"/>
        <v>414981</v>
      </c>
      <c r="AE424" s="2">
        <v>0</v>
      </c>
      <c r="AF424" s="2">
        <f t="shared" si="208"/>
        <v>414981</v>
      </c>
      <c r="AG424" s="38" t="s">
        <v>486</v>
      </c>
      <c r="AH424" s="29"/>
      <c r="AI424" s="118">
        <v>0</v>
      </c>
      <c r="AJ424" s="118">
        <v>0</v>
      </c>
    </row>
    <row r="425" spans="1:36" ht="141.75" x14ac:dyDescent="0.25">
      <c r="A425" s="6">
        <v>422</v>
      </c>
      <c r="B425" s="31">
        <v>155116</v>
      </c>
      <c r="C425" s="11">
        <v>1244</v>
      </c>
      <c r="D425" s="9" t="s">
        <v>1638</v>
      </c>
      <c r="E425" s="24" t="s">
        <v>2012</v>
      </c>
      <c r="F425" s="31" t="s">
        <v>2195</v>
      </c>
      <c r="G425" s="11" t="s">
        <v>723</v>
      </c>
      <c r="H425" s="8" t="s">
        <v>151</v>
      </c>
      <c r="I425" s="32" t="s">
        <v>2848</v>
      </c>
      <c r="J425" s="25">
        <v>44690</v>
      </c>
      <c r="K425" s="25">
        <v>45116</v>
      </c>
      <c r="L425" s="26">
        <f t="shared" si="203"/>
        <v>85.00000256799494</v>
      </c>
      <c r="M425" s="40">
        <v>3</v>
      </c>
      <c r="N425" s="11" t="s">
        <v>1568</v>
      </c>
      <c r="O425" s="11" t="s">
        <v>724</v>
      </c>
      <c r="P425" s="27" t="s">
        <v>174</v>
      </c>
      <c r="Q425" s="11" t="s">
        <v>34</v>
      </c>
      <c r="R425" s="1">
        <f t="shared" si="204"/>
        <v>248248.16</v>
      </c>
      <c r="S425" s="2">
        <v>248248.16</v>
      </c>
      <c r="T425" s="2">
        <v>0</v>
      </c>
      <c r="U425" s="1">
        <f t="shared" si="205"/>
        <v>37967.360000000001</v>
      </c>
      <c r="V425" s="28">
        <v>37967.360000000001</v>
      </c>
      <c r="W425" s="28">
        <v>0</v>
      </c>
      <c r="X425" s="1">
        <f t="shared" si="206"/>
        <v>5841.13</v>
      </c>
      <c r="Y425" s="2">
        <v>5841.13</v>
      </c>
      <c r="Z425" s="2">
        <v>0</v>
      </c>
      <c r="AA425" s="2">
        <f t="shared" si="207"/>
        <v>0</v>
      </c>
      <c r="AB425" s="2">
        <v>0</v>
      </c>
      <c r="AC425" s="2">
        <v>0</v>
      </c>
      <c r="AD425" s="16">
        <f t="shared" si="200"/>
        <v>292056.65000000002</v>
      </c>
      <c r="AE425" s="2">
        <v>0</v>
      </c>
      <c r="AF425" s="2">
        <f t="shared" si="208"/>
        <v>292056.65000000002</v>
      </c>
      <c r="AG425" s="38" t="s">
        <v>486</v>
      </c>
      <c r="AH425" s="29"/>
      <c r="AI425" s="118">
        <v>0</v>
      </c>
      <c r="AJ425" s="118">
        <v>0</v>
      </c>
    </row>
    <row r="426" spans="1:36" ht="204.75" x14ac:dyDescent="0.25">
      <c r="A426" s="6">
        <v>423</v>
      </c>
      <c r="B426" s="31">
        <v>120582</v>
      </c>
      <c r="C426" s="11">
        <v>109</v>
      </c>
      <c r="D426" s="9" t="s">
        <v>1638</v>
      </c>
      <c r="E426" s="24" t="s">
        <v>277</v>
      </c>
      <c r="F426" s="11" t="s">
        <v>177</v>
      </c>
      <c r="G426" s="11" t="s">
        <v>178</v>
      </c>
      <c r="H426" s="8" t="s">
        <v>151</v>
      </c>
      <c r="I426" s="46" t="s">
        <v>181</v>
      </c>
      <c r="J426" s="25">
        <v>43129</v>
      </c>
      <c r="K426" s="25">
        <v>43675</v>
      </c>
      <c r="L426" s="26">
        <f t="shared" ref="L426:L438" si="209">R426/AD426*100</f>
        <v>85.000000819683009</v>
      </c>
      <c r="M426" s="11">
        <v>1</v>
      </c>
      <c r="N426" s="11" t="s">
        <v>185</v>
      </c>
      <c r="O426" s="11" t="s">
        <v>185</v>
      </c>
      <c r="P426" s="27" t="s">
        <v>174</v>
      </c>
      <c r="Q426" s="11" t="s">
        <v>34</v>
      </c>
      <c r="R426" s="2">
        <f t="shared" ref="R426:R433" si="210">S426+T426</f>
        <v>518493.12</v>
      </c>
      <c r="S426" s="2">
        <v>518493.12</v>
      </c>
      <c r="T426" s="2">
        <v>0</v>
      </c>
      <c r="U426" s="1">
        <f t="shared" ref="U426:U438" si="211">V426+W426</f>
        <v>79298.94</v>
      </c>
      <c r="V426" s="28">
        <v>79298.94</v>
      </c>
      <c r="W426" s="28">
        <v>0</v>
      </c>
      <c r="X426" s="2">
        <f t="shared" ref="X426:X438" si="212">Y426+Z426</f>
        <v>12199.84</v>
      </c>
      <c r="Y426" s="2">
        <v>12199.84</v>
      </c>
      <c r="Z426" s="2">
        <v>0</v>
      </c>
      <c r="AA426" s="2">
        <f t="shared" ref="AA426:AA438" si="213">AB426+AC426</f>
        <v>0</v>
      </c>
      <c r="AB426" s="2">
        <v>0</v>
      </c>
      <c r="AC426" s="2">
        <v>0</v>
      </c>
      <c r="AD426" s="16">
        <f t="shared" si="200"/>
        <v>609991.9</v>
      </c>
      <c r="AE426" s="2">
        <v>0</v>
      </c>
      <c r="AF426" s="2">
        <f t="shared" ref="AF426:AF438" si="214">AD426+AE426</f>
        <v>609991.9</v>
      </c>
      <c r="AG426" s="21" t="s">
        <v>857</v>
      </c>
      <c r="AH426" s="29" t="s">
        <v>1046</v>
      </c>
      <c r="AI426" s="30">
        <v>460519.85000000003</v>
      </c>
      <c r="AJ426" s="130">
        <v>70432.44</v>
      </c>
    </row>
    <row r="427" spans="1:36" ht="173.25" x14ac:dyDescent="0.25">
      <c r="A427" s="6">
        <v>424</v>
      </c>
      <c r="B427" s="31">
        <v>120630</v>
      </c>
      <c r="C427" s="11">
        <v>101</v>
      </c>
      <c r="D427" s="9" t="s">
        <v>1638</v>
      </c>
      <c r="E427" s="24" t="s">
        <v>277</v>
      </c>
      <c r="F427" s="11" t="s">
        <v>236</v>
      </c>
      <c r="G427" s="11" t="s">
        <v>1135</v>
      </c>
      <c r="H427" s="8" t="s">
        <v>151</v>
      </c>
      <c r="I427" s="12" t="s">
        <v>243</v>
      </c>
      <c r="J427" s="25">
        <v>43145</v>
      </c>
      <c r="K427" s="25">
        <v>43630</v>
      </c>
      <c r="L427" s="26">
        <f t="shared" si="209"/>
        <v>85.000000236289679</v>
      </c>
      <c r="M427" s="11">
        <v>1</v>
      </c>
      <c r="N427" s="11" t="s">
        <v>185</v>
      </c>
      <c r="O427" s="11" t="s">
        <v>242</v>
      </c>
      <c r="P427" s="27" t="s">
        <v>174</v>
      </c>
      <c r="Q427" s="11" t="s">
        <v>34</v>
      </c>
      <c r="R427" s="2">
        <f t="shared" si="210"/>
        <v>359727.94</v>
      </c>
      <c r="S427" s="2">
        <v>359727.94</v>
      </c>
      <c r="T427" s="2">
        <v>0</v>
      </c>
      <c r="U427" s="1">
        <f t="shared" si="211"/>
        <v>55017.21</v>
      </c>
      <c r="V427" s="28">
        <v>55017.21</v>
      </c>
      <c r="W427" s="28">
        <v>0</v>
      </c>
      <c r="X427" s="2">
        <f t="shared" si="212"/>
        <v>8464.19</v>
      </c>
      <c r="Y427" s="2">
        <v>8464.19</v>
      </c>
      <c r="Z427" s="2">
        <v>0</v>
      </c>
      <c r="AA427" s="2">
        <f t="shared" si="213"/>
        <v>0</v>
      </c>
      <c r="AB427" s="2">
        <v>0</v>
      </c>
      <c r="AC427" s="2">
        <v>0</v>
      </c>
      <c r="AD427" s="16">
        <f t="shared" si="200"/>
        <v>423209.34</v>
      </c>
      <c r="AE427" s="2">
        <v>0</v>
      </c>
      <c r="AF427" s="2">
        <f t="shared" si="214"/>
        <v>423209.34</v>
      </c>
      <c r="AG427" s="21" t="s">
        <v>857</v>
      </c>
      <c r="AH427" s="29"/>
      <c r="AI427" s="30">
        <v>270648.24</v>
      </c>
      <c r="AJ427" s="30">
        <v>41393.249999999993</v>
      </c>
    </row>
    <row r="428" spans="1:36" ht="157.5" x14ac:dyDescent="0.25">
      <c r="A428" s="6">
        <v>425</v>
      </c>
      <c r="B428" s="31">
        <v>120672</v>
      </c>
      <c r="C428" s="11">
        <v>106</v>
      </c>
      <c r="D428" s="9" t="s">
        <v>1638</v>
      </c>
      <c r="E428" s="24" t="s">
        <v>277</v>
      </c>
      <c r="F428" s="11" t="s">
        <v>237</v>
      </c>
      <c r="G428" s="11" t="s">
        <v>916</v>
      </c>
      <c r="H428" s="8" t="s">
        <v>151</v>
      </c>
      <c r="I428" s="12" t="s">
        <v>244</v>
      </c>
      <c r="J428" s="25">
        <v>43145</v>
      </c>
      <c r="K428" s="25">
        <v>43630</v>
      </c>
      <c r="L428" s="26">
        <f t="shared" si="209"/>
        <v>84.999999174149096</v>
      </c>
      <c r="M428" s="11">
        <v>1</v>
      </c>
      <c r="N428" s="11" t="s">
        <v>185</v>
      </c>
      <c r="O428" s="11" t="s">
        <v>185</v>
      </c>
      <c r="P428" s="27" t="s">
        <v>174</v>
      </c>
      <c r="Q428" s="11" t="s">
        <v>34</v>
      </c>
      <c r="R428" s="2">
        <f t="shared" si="210"/>
        <v>360234.51</v>
      </c>
      <c r="S428" s="37">
        <v>360234.51</v>
      </c>
      <c r="T428" s="2">
        <v>0</v>
      </c>
      <c r="U428" s="1">
        <f t="shared" si="211"/>
        <v>55094.69</v>
      </c>
      <c r="V428" s="42">
        <v>55094.69</v>
      </c>
      <c r="W428" s="28">
        <v>0</v>
      </c>
      <c r="X428" s="103">
        <f t="shared" si="212"/>
        <v>8476.11</v>
      </c>
      <c r="Y428" s="37">
        <v>8476.11</v>
      </c>
      <c r="Z428" s="103">
        <v>0</v>
      </c>
      <c r="AA428" s="103">
        <f t="shared" si="213"/>
        <v>0</v>
      </c>
      <c r="AB428" s="2">
        <v>0</v>
      </c>
      <c r="AC428" s="2">
        <v>0</v>
      </c>
      <c r="AD428" s="16">
        <f t="shared" si="200"/>
        <v>423805.31</v>
      </c>
      <c r="AE428" s="2">
        <v>0</v>
      </c>
      <c r="AF428" s="2">
        <f t="shared" si="214"/>
        <v>423805.31</v>
      </c>
      <c r="AG428" s="21" t="s">
        <v>857</v>
      </c>
      <c r="AH428" s="29"/>
      <c r="AI428" s="30">
        <v>331258.69999999995</v>
      </c>
      <c r="AJ428" s="30">
        <v>50663.100000000006</v>
      </c>
    </row>
    <row r="429" spans="1:36" ht="141.75" x14ac:dyDescent="0.25">
      <c r="A429" s="6">
        <v>426</v>
      </c>
      <c r="B429" s="31">
        <v>118196</v>
      </c>
      <c r="C429" s="11">
        <v>425</v>
      </c>
      <c r="D429" s="32" t="s">
        <v>1639</v>
      </c>
      <c r="E429" s="24" t="s">
        <v>507</v>
      </c>
      <c r="F429" s="11" t="s">
        <v>500</v>
      </c>
      <c r="G429" s="11" t="s">
        <v>503</v>
      </c>
      <c r="H429" s="8" t="s">
        <v>151</v>
      </c>
      <c r="I429" s="12" t="s">
        <v>501</v>
      </c>
      <c r="J429" s="25">
        <v>43269</v>
      </c>
      <c r="K429" s="25">
        <v>43756</v>
      </c>
      <c r="L429" s="26">
        <f t="shared" si="209"/>
        <v>85</v>
      </c>
      <c r="M429" s="11">
        <v>1</v>
      </c>
      <c r="N429" s="11" t="s">
        <v>185</v>
      </c>
      <c r="O429" s="11" t="s">
        <v>185</v>
      </c>
      <c r="P429" s="27" t="s">
        <v>174</v>
      </c>
      <c r="Q429" s="11" t="s">
        <v>34</v>
      </c>
      <c r="R429" s="37">
        <f t="shared" si="210"/>
        <v>339668.5</v>
      </c>
      <c r="S429" s="37">
        <v>339668.5</v>
      </c>
      <c r="T429" s="37">
        <v>0</v>
      </c>
      <c r="U429" s="1">
        <f t="shared" si="211"/>
        <v>51949.3</v>
      </c>
      <c r="V429" s="42">
        <v>51949.3</v>
      </c>
      <c r="W429" s="42">
        <v>0</v>
      </c>
      <c r="X429" s="103">
        <f t="shared" si="212"/>
        <v>7992.2</v>
      </c>
      <c r="Y429" s="37">
        <v>7992.2</v>
      </c>
      <c r="Z429" s="37">
        <v>0</v>
      </c>
      <c r="AA429" s="2">
        <f t="shared" si="213"/>
        <v>0</v>
      </c>
      <c r="AB429" s="2">
        <v>0</v>
      </c>
      <c r="AC429" s="2">
        <v>0</v>
      </c>
      <c r="AD429" s="16">
        <f t="shared" si="200"/>
        <v>399610</v>
      </c>
      <c r="AE429" s="37">
        <v>0</v>
      </c>
      <c r="AF429" s="2">
        <f t="shared" si="214"/>
        <v>399610</v>
      </c>
      <c r="AG429" s="21" t="s">
        <v>857</v>
      </c>
      <c r="AH429" s="29"/>
      <c r="AI429" s="30">
        <v>263215.08999999997</v>
      </c>
      <c r="AJ429" s="30">
        <v>40256.43</v>
      </c>
    </row>
    <row r="430" spans="1:36" ht="141.75" x14ac:dyDescent="0.25">
      <c r="A430" s="6">
        <v>427</v>
      </c>
      <c r="B430" s="31">
        <v>126155</v>
      </c>
      <c r="C430" s="11">
        <v>544</v>
      </c>
      <c r="D430" s="9" t="s">
        <v>1638</v>
      </c>
      <c r="E430" s="24" t="s">
        <v>899</v>
      </c>
      <c r="F430" s="11" t="s">
        <v>909</v>
      </c>
      <c r="G430" s="11" t="s">
        <v>910</v>
      </c>
      <c r="H430" s="8" t="s">
        <v>151</v>
      </c>
      <c r="I430" s="12" t="s">
        <v>911</v>
      </c>
      <c r="J430" s="25">
        <v>43437</v>
      </c>
      <c r="K430" s="25">
        <v>44533</v>
      </c>
      <c r="L430" s="26">
        <f t="shared" si="209"/>
        <v>85.000000318097122</v>
      </c>
      <c r="M430" s="11">
        <v>1</v>
      </c>
      <c r="N430" s="11" t="s">
        <v>185</v>
      </c>
      <c r="O430" s="11" t="s">
        <v>185</v>
      </c>
      <c r="P430" s="27" t="s">
        <v>174</v>
      </c>
      <c r="Q430" s="11" t="s">
        <v>34</v>
      </c>
      <c r="R430" s="37">
        <f t="shared" si="210"/>
        <v>2672139.91</v>
      </c>
      <c r="S430" s="37">
        <v>2672139.91</v>
      </c>
      <c r="T430" s="37">
        <v>0</v>
      </c>
      <c r="U430" s="1">
        <f t="shared" si="211"/>
        <v>408680.21</v>
      </c>
      <c r="V430" s="42">
        <v>408680.21</v>
      </c>
      <c r="W430" s="42">
        <v>0</v>
      </c>
      <c r="X430" s="103">
        <f t="shared" si="212"/>
        <v>62873.88</v>
      </c>
      <c r="Y430" s="37">
        <v>62873.88</v>
      </c>
      <c r="Z430" s="37">
        <v>0</v>
      </c>
      <c r="AA430" s="2">
        <f t="shared" si="213"/>
        <v>0</v>
      </c>
      <c r="AB430" s="2">
        <v>0</v>
      </c>
      <c r="AC430" s="2">
        <v>0</v>
      </c>
      <c r="AD430" s="16">
        <f t="shared" si="200"/>
        <v>3143694</v>
      </c>
      <c r="AE430" s="37">
        <v>0</v>
      </c>
      <c r="AF430" s="2">
        <f t="shared" si="214"/>
        <v>3143694</v>
      </c>
      <c r="AG430" s="38" t="s">
        <v>857</v>
      </c>
      <c r="AH430" s="29" t="s">
        <v>1762</v>
      </c>
      <c r="AI430" s="30">
        <f>810585.98+89720.9+63383.91+272519.44+397180.87+679849.55</f>
        <v>2313240.6500000004</v>
      </c>
      <c r="AJ430" s="30">
        <f>123971.92+13722.02+9694+41679.44+60745.3+103976.99</f>
        <v>353789.67</v>
      </c>
    </row>
    <row r="431" spans="1:36" ht="138" customHeight="1" x14ac:dyDescent="0.25">
      <c r="A431" s="6">
        <v>428</v>
      </c>
      <c r="B431" s="31">
        <v>125900</v>
      </c>
      <c r="C431" s="11">
        <v>518</v>
      </c>
      <c r="D431" s="9" t="s">
        <v>1638</v>
      </c>
      <c r="E431" s="24" t="s">
        <v>899</v>
      </c>
      <c r="F431" s="11" t="s">
        <v>915</v>
      </c>
      <c r="G431" s="11" t="s">
        <v>178</v>
      </c>
      <c r="H431" s="8" t="s">
        <v>151</v>
      </c>
      <c r="I431" s="12" t="s">
        <v>2849</v>
      </c>
      <c r="J431" s="25">
        <v>43439</v>
      </c>
      <c r="K431" s="25">
        <v>44109</v>
      </c>
      <c r="L431" s="26">
        <f t="shared" si="209"/>
        <v>85.000001224772731</v>
      </c>
      <c r="M431" s="11">
        <v>1</v>
      </c>
      <c r="N431" s="11" t="s">
        <v>185</v>
      </c>
      <c r="O431" s="11" t="s">
        <v>185</v>
      </c>
      <c r="P431" s="27" t="s">
        <v>174</v>
      </c>
      <c r="Q431" s="11" t="s">
        <v>34</v>
      </c>
      <c r="R431" s="37">
        <f t="shared" si="210"/>
        <v>694006.31</v>
      </c>
      <c r="S431" s="37">
        <v>694006.31</v>
      </c>
      <c r="T431" s="37">
        <v>0</v>
      </c>
      <c r="U431" s="1">
        <f t="shared" si="211"/>
        <v>106142.13</v>
      </c>
      <c r="V431" s="42">
        <v>106142.13</v>
      </c>
      <c r="W431" s="42">
        <v>0</v>
      </c>
      <c r="X431" s="103">
        <f t="shared" si="212"/>
        <v>16329.56</v>
      </c>
      <c r="Y431" s="37">
        <v>16329.56</v>
      </c>
      <c r="Z431" s="37">
        <v>0</v>
      </c>
      <c r="AA431" s="2">
        <f t="shared" si="213"/>
        <v>0</v>
      </c>
      <c r="AB431" s="37">
        <v>0</v>
      </c>
      <c r="AC431" s="37">
        <v>0</v>
      </c>
      <c r="AD431" s="16">
        <f t="shared" si="200"/>
        <v>816478.00000000012</v>
      </c>
      <c r="AE431" s="37">
        <v>0</v>
      </c>
      <c r="AF431" s="2">
        <f t="shared" si="214"/>
        <v>816478.00000000012</v>
      </c>
      <c r="AG431" s="38" t="s">
        <v>857</v>
      </c>
      <c r="AH431" s="29" t="s">
        <v>1517</v>
      </c>
      <c r="AI431" s="30">
        <f>233487.13+113184.8+158166.13</f>
        <v>504838.06</v>
      </c>
      <c r="AJ431" s="30">
        <f>35709.8+17310.62+24190.11</f>
        <v>77210.53</v>
      </c>
    </row>
    <row r="432" spans="1:36" ht="157.5" x14ac:dyDescent="0.25">
      <c r="A432" s="6">
        <v>429</v>
      </c>
      <c r="B432" s="31">
        <v>126350</v>
      </c>
      <c r="C432" s="11">
        <v>570</v>
      </c>
      <c r="D432" s="9" t="s">
        <v>1638</v>
      </c>
      <c r="E432" s="24" t="s">
        <v>899</v>
      </c>
      <c r="F432" s="11" t="s">
        <v>1041</v>
      </c>
      <c r="G432" s="11" t="s">
        <v>916</v>
      </c>
      <c r="H432" s="8" t="s">
        <v>151</v>
      </c>
      <c r="I432" s="12" t="s">
        <v>2850</v>
      </c>
      <c r="J432" s="25">
        <v>43564</v>
      </c>
      <c r="K432" s="25">
        <v>44601</v>
      </c>
      <c r="L432" s="26">
        <f t="shared" si="209"/>
        <v>84.999999916591278</v>
      </c>
      <c r="M432" s="11">
        <v>1</v>
      </c>
      <c r="N432" s="11" t="s">
        <v>185</v>
      </c>
      <c r="O432" s="11" t="s">
        <v>185</v>
      </c>
      <c r="P432" s="27" t="s">
        <v>174</v>
      </c>
      <c r="Q432" s="11" t="s">
        <v>34</v>
      </c>
      <c r="R432" s="37">
        <f t="shared" si="210"/>
        <v>2038156.45</v>
      </c>
      <c r="S432" s="37">
        <v>2038156.45</v>
      </c>
      <c r="T432" s="37">
        <v>0</v>
      </c>
      <c r="U432" s="1">
        <f t="shared" si="211"/>
        <v>311718.05</v>
      </c>
      <c r="V432" s="42">
        <v>311718.05</v>
      </c>
      <c r="W432" s="42">
        <v>0</v>
      </c>
      <c r="X432" s="103">
        <f t="shared" si="212"/>
        <v>47956.62</v>
      </c>
      <c r="Y432" s="37">
        <v>47956.62</v>
      </c>
      <c r="Z432" s="37">
        <v>0</v>
      </c>
      <c r="AA432" s="2">
        <f t="shared" si="213"/>
        <v>0</v>
      </c>
      <c r="AB432" s="2">
        <v>0</v>
      </c>
      <c r="AC432" s="2">
        <v>0</v>
      </c>
      <c r="AD432" s="16">
        <f t="shared" si="200"/>
        <v>2397831.12</v>
      </c>
      <c r="AE432" s="37">
        <v>35700</v>
      </c>
      <c r="AF432" s="2">
        <f t="shared" si="214"/>
        <v>2433531.12</v>
      </c>
      <c r="AG432" s="38" t="s">
        <v>857</v>
      </c>
      <c r="AH432" s="29" t="s">
        <v>1961</v>
      </c>
      <c r="AI432" s="30">
        <f>167370.71+11789.5+6828.9+28082.3+927806.47+74593.07+568058.77+39557.59</f>
        <v>1824087.31</v>
      </c>
      <c r="AJ432" s="30">
        <f>25597.86+1803.1+1044.42+4294.94+141899.83+11408.35+86879.57+6049.98</f>
        <v>278978.05</v>
      </c>
    </row>
    <row r="433" spans="1:36" ht="157.5" x14ac:dyDescent="0.25">
      <c r="A433" s="6">
        <v>430</v>
      </c>
      <c r="B433" s="31">
        <v>128787</v>
      </c>
      <c r="C433" s="11">
        <v>631</v>
      </c>
      <c r="D433" s="9" t="s">
        <v>1638</v>
      </c>
      <c r="E433" s="24" t="s">
        <v>1071</v>
      </c>
      <c r="F433" s="11" t="s">
        <v>1093</v>
      </c>
      <c r="G433" s="11" t="s">
        <v>1135</v>
      </c>
      <c r="H433" s="8" t="s">
        <v>151</v>
      </c>
      <c r="I433" s="12" t="s">
        <v>1094</v>
      </c>
      <c r="J433" s="25">
        <v>43622</v>
      </c>
      <c r="K433" s="25">
        <v>44810</v>
      </c>
      <c r="L433" s="26">
        <f t="shared" si="209"/>
        <v>84.999999929965156</v>
      </c>
      <c r="M433" s="11">
        <v>1</v>
      </c>
      <c r="N433" s="11" t="s">
        <v>185</v>
      </c>
      <c r="O433" s="11" t="s">
        <v>242</v>
      </c>
      <c r="P433" s="27" t="s">
        <v>174</v>
      </c>
      <c r="Q433" s="11" t="s">
        <v>34</v>
      </c>
      <c r="R433" s="37">
        <f t="shared" si="210"/>
        <v>3034203.56</v>
      </c>
      <c r="S433" s="37">
        <v>3034203.56</v>
      </c>
      <c r="T433" s="37">
        <v>0</v>
      </c>
      <c r="U433" s="37">
        <f t="shared" si="211"/>
        <v>464054.66</v>
      </c>
      <c r="V433" s="42">
        <v>464054.66</v>
      </c>
      <c r="W433" s="42">
        <v>0</v>
      </c>
      <c r="X433" s="131">
        <f t="shared" si="212"/>
        <v>71393.03</v>
      </c>
      <c r="Y433" s="132">
        <v>71393.03</v>
      </c>
      <c r="Z433" s="37">
        <v>0</v>
      </c>
      <c r="AA433" s="2">
        <f t="shared" si="213"/>
        <v>0</v>
      </c>
      <c r="AB433" s="37">
        <v>0</v>
      </c>
      <c r="AC433" s="37">
        <v>0</v>
      </c>
      <c r="AD433" s="16">
        <f t="shared" si="200"/>
        <v>3569651.25</v>
      </c>
      <c r="AE433" s="37">
        <v>0</v>
      </c>
      <c r="AF433" s="2">
        <f t="shared" si="214"/>
        <v>3569651.25</v>
      </c>
      <c r="AG433" s="38" t="s">
        <v>857</v>
      </c>
      <c r="AH433" s="29" t="s">
        <v>2201</v>
      </c>
      <c r="AI433" s="30">
        <f>504827.43-10178.86-5459.66-2835.27-2355.43+784894.2-14533.64+297128.13-2576.18+65322.5+475332.19+169411.38+341381.25</f>
        <v>2600358.04</v>
      </c>
      <c r="AJ433" s="30">
        <f>22614.24+10178.86+5459.66+2835.27+2355.43+123050.81+14533.64+45443.12+2576.18+9990.5+75697.31+17755.37+52211.25</f>
        <v>384701.64</v>
      </c>
    </row>
    <row r="434" spans="1:36" ht="141.75" x14ac:dyDescent="0.25">
      <c r="A434" s="6">
        <v>431</v>
      </c>
      <c r="B434" s="31">
        <v>136326</v>
      </c>
      <c r="C434" s="11">
        <v>812</v>
      </c>
      <c r="D434" s="9" t="s">
        <v>1638</v>
      </c>
      <c r="E434" s="24" t="s">
        <v>1441</v>
      </c>
      <c r="F434" s="11" t="s">
        <v>1489</v>
      </c>
      <c r="G434" s="11" t="s">
        <v>916</v>
      </c>
      <c r="H434" s="8" t="s">
        <v>151</v>
      </c>
      <c r="I434" s="12" t="s">
        <v>2851</v>
      </c>
      <c r="J434" s="25">
        <v>43970</v>
      </c>
      <c r="K434" s="25">
        <v>44518</v>
      </c>
      <c r="L434" s="26">
        <f t="shared" si="209"/>
        <v>85.00000053912315</v>
      </c>
      <c r="M434" s="11">
        <v>1</v>
      </c>
      <c r="N434" s="11" t="s">
        <v>185</v>
      </c>
      <c r="O434" s="11" t="s">
        <v>185</v>
      </c>
      <c r="P434" s="27" t="s">
        <v>174</v>
      </c>
      <c r="Q434" s="11" t="s">
        <v>34</v>
      </c>
      <c r="R434" s="37">
        <f>S434+T434</f>
        <v>788317.12</v>
      </c>
      <c r="S434" s="37">
        <v>788317.12</v>
      </c>
      <c r="T434" s="37">
        <v>0</v>
      </c>
      <c r="U434" s="37">
        <f t="shared" si="211"/>
        <v>120566.14</v>
      </c>
      <c r="V434" s="42">
        <v>120566.14</v>
      </c>
      <c r="W434" s="42">
        <v>0</v>
      </c>
      <c r="X434" s="131">
        <f t="shared" si="212"/>
        <v>18548.64</v>
      </c>
      <c r="Y434" s="133">
        <v>18548.64</v>
      </c>
      <c r="Z434" s="37">
        <v>0</v>
      </c>
      <c r="AA434" s="2">
        <f t="shared" si="213"/>
        <v>0</v>
      </c>
      <c r="AB434" s="37">
        <v>0</v>
      </c>
      <c r="AC434" s="37">
        <v>0</v>
      </c>
      <c r="AD434" s="16">
        <f t="shared" si="200"/>
        <v>927431.9</v>
      </c>
      <c r="AE434" s="37">
        <v>0</v>
      </c>
      <c r="AF434" s="2">
        <f t="shared" si="214"/>
        <v>927431.9</v>
      </c>
      <c r="AG434" s="38" t="s">
        <v>857</v>
      </c>
      <c r="AH434" s="29"/>
      <c r="AI434" s="30">
        <f>16971.95+12398.1+17217.92+17584.8+352154.92</f>
        <v>416327.69</v>
      </c>
      <c r="AJ434" s="30">
        <f>2595.71+1896.18+2633.33+2689.44+53858.98</f>
        <v>63673.64</v>
      </c>
    </row>
    <row r="435" spans="1:36" ht="236.25" x14ac:dyDescent="0.25">
      <c r="A435" s="6">
        <v>432</v>
      </c>
      <c r="B435" s="31">
        <v>136134</v>
      </c>
      <c r="C435" s="11">
        <v>829</v>
      </c>
      <c r="D435" s="9" t="s">
        <v>1638</v>
      </c>
      <c r="E435" s="24" t="s">
        <v>1441</v>
      </c>
      <c r="F435" s="11" t="s">
        <v>1564</v>
      </c>
      <c r="G435" s="11" t="s">
        <v>1135</v>
      </c>
      <c r="H435" s="8" t="s">
        <v>151</v>
      </c>
      <c r="I435" s="12" t="s">
        <v>2852</v>
      </c>
      <c r="J435" s="25">
        <v>44014</v>
      </c>
      <c r="K435" s="25">
        <v>45018</v>
      </c>
      <c r="L435" s="26">
        <f t="shared" si="209"/>
        <v>85</v>
      </c>
      <c r="M435" s="11">
        <v>1</v>
      </c>
      <c r="N435" s="11" t="s">
        <v>185</v>
      </c>
      <c r="O435" s="11" t="s">
        <v>242</v>
      </c>
      <c r="P435" s="27" t="s">
        <v>174</v>
      </c>
      <c r="Q435" s="11" t="s">
        <v>34</v>
      </c>
      <c r="R435" s="37">
        <f>S435+T435</f>
        <v>2452525.4</v>
      </c>
      <c r="S435" s="37">
        <v>2452525.4</v>
      </c>
      <c r="T435" s="37">
        <v>0</v>
      </c>
      <c r="U435" s="37">
        <f t="shared" si="211"/>
        <v>375092.12</v>
      </c>
      <c r="V435" s="42">
        <v>375092.12</v>
      </c>
      <c r="W435" s="42">
        <v>0</v>
      </c>
      <c r="X435" s="131">
        <f t="shared" si="212"/>
        <v>57706.48</v>
      </c>
      <c r="Y435" s="133">
        <v>57706.48</v>
      </c>
      <c r="Z435" s="37">
        <v>0</v>
      </c>
      <c r="AA435" s="2">
        <f t="shared" si="213"/>
        <v>0</v>
      </c>
      <c r="AB435" s="37">
        <v>0</v>
      </c>
      <c r="AC435" s="37">
        <v>0</v>
      </c>
      <c r="AD435" s="16">
        <f t="shared" si="200"/>
        <v>2885324</v>
      </c>
      <c r="AE435" s="37">
        <v>0</v>
      </c>
      <c r="AF435" s="2">
        <f t="shared" si="214"/>
        <v>2885324</v>
      </c>
      <c r="AG435" s="38" t="s">
        <v>486</v>
      </c>
      <c r="AH435" s="29" t="s">
        <v>3296</v>
      </c>
      <c r="AI435" s="30">
        <f>28853-2863.19+142731.06-11903.65-3858.41+93859.89-3651.96-3026.27+675137.17+122351.04</f>
        <v>1037628.6800000002</v>
      </c>
      <c r="AJ435" s="30">
        <f>2863.19+11903.65+3858.41+3651.96+3026.27+105097.28+18712.51</f>
        <v>149113.26999999999</v>
      </c>
    </row>
    <row r="436" spans="1:36" ht="299.25" x14ac:dyDescent="0.25">
      <c r="A436" s="6">
        <v>433</v>
      </c>
      <c r="B436" s="31">
        <v>152130</v>
      </c>
      <c r="C436" s="11">
        <v>1135</v>
      </c>
      <c r="D436" s="9" t="s">
        <v>1639</v>
      </c>
      <c r="E436" s="24" t="s">
        <v>1801</v>
      </c>
      <c r="F436" s="11" t="s">
        <v>1883</v>
      </c>
      <c r="G436" s="11" t="s">
        <v>916</v>
      </c>
      <c r="H436" s="11" t="s">
        <v>1827</v>
      </c>
      <c r="I436" s="12" t="s">
        <v>1884</v>
      </c>
      <c r="J436" s="25">
        <v>44524</v>
      </c>
      <c r="K436" s="25">
        <v>45009</v>
      </c>
      <c r="L436" s="26">
        <f t="shared" si="209"/>
        <v>85.000000482427481</v>
      </c>
      <c r="M436" s="11">
        <v>1</v>
      </c>
      <c r="N436" s="11" t="s">
        <v>185</v>
      </c>
      <c r="O436" s="11" t="s">
        <v>185</v>
      </c>
      <c r="P436" s="27" t="s">
        <v>174</v>
      </c>
      <c r="Q436" s="11" t="s">
        <v>34</v>
      </c>
      <c r="R436" s="37">
        <f>S436+T436</f>
        <v>352384.57</v>
      </c>
      <c r="S436" s="37">
        <v>352384.57</v>
      </c>
      <c r="T436" s="37">
        <v>0</v>
      </c>
      <c r="U436" s="37">
        <f t="shared" si="211"/>
        <v>50695.71</v>
      </c>
      <c r="V436" s="42">
        <v>50695.71</v>
      </c>
      <c r="W436" s="42">
        <v>0</v>
      </c>
      <c r="X436" s="131">
        <f t="shared" si="212"/>
        <v>11489.8</v>
      </c>
      <c r="Y436" s="133">
        <v>11489.8</v>
      </c>
      <c r="Z436" s="37">
        <v>0</v>
      </c>
      <c r="AA436" s="2">
        <f t="shared" si="213"/>
        <v>0</v>
      </c>
      <c r="AB436" s="37">
        <v>0</v>
      </c>
      <c r="AC436" s="37">
        <v>0</v>
      </c>
      <c r="AD436" s="16">
        <f t="shared" si="200"/>
        <v>414570.08</v>
      </c>
      <c r="AE436" s="37">
        <v>0</v>
      </c>
      <c r="AF436" s="2">
        <f t="shared" si="214"/>
        <v>414570.08</v>
      </c>
      <c r="AG436" s="38" t="s">
        <v>486</v>
      </c>
      <c r="AH436" s="29"/>
      <c r="AI436" s="30">
        <f>3649.49+12874.36+27941.82</f>
        <v>44465.67</v>
      </c>
      <c r="AJ436" s="30">
        <f>558.16+1969.02+3391.32</f>
        <v>5918.5</v>
      </c>
    </row>
    <row r="437" spans="1:36" ht="141.75" x14ac:dyDescent="0.25">
      <c r="A437" s="6">
        <v>434</v>
      </c>
      <c r="B437" s="31">
        <v>153593</v>
      </c>
      <c r="C437" s="11">
        <v>1223</v>
      </c>
      <c r="D437" s="9" t="s">
        <v>1638</v>
      </c>
      <c r="E437" s="24" t="s">
        <v>2012</v>
      </c>
      <c r="F437" s="11" t="s">
        <v>2178</v>
      </c>
      <c r="G437" s="11" t="s">
        <v>503</v>
      </c>
      <c r="H437" s="11" t="s">
        <v>151</v>
      </c>
      <c r="I437" s="12" t="s">
        <v>2853</v>
      </c>
      <c r="J437" s="25">
        <v>44680</v>
      </c>
      <c r="K437" s="25">
        <v>45167</v>
      </c>
      <c r="L437" s="26">
        <f t="shared" si="209"/>
        <v>84.999999866294942</v>
      </c>
      <c r="M437" s="11">
        <v>1</v>
      </c>
      <c r="N437" s="11" t="s">
        <v>185</v>
      </c>
      <c r="O437" s="11" t="s">
        <v>185</v>
      </c>
      <c r="P437" s="27" t="s">
        <v>174</v>
      </c>
      <c r="Q437" s="11" t="s">
        <v>34</v>
      </c>
      <c r="R437" s="37">
        <f>S437+T437</f>
        <v>2542910.52</v>
      </c>
      <c r="S437" s="37">
        <v>2542910.52</v>
      </c>
      <c r="T437" s="37">
        <v>0</v>
      </c>
      <c r="U437" s="37">
        <f t="shared" si="211"/>
        <v>388915.73</v>
      </c>
      <c r="V437" s="42">
        <v>388915.73</v>
      </c>
      <c r="W437" s="42">
        <v>0</v>
      </c>
      <c r="X437" s="131">
        <f t="shared" si="212"/>
        <v>59833.19</v>
      </c>
      <c r="Y437" s="133">
        <v>59833.19</v>
      </c>
      <c r="Z437" s="37">
        <v>0</v>
      </c>
      <c r="AA437" s="2">
        <f t="shared" si="213"/>
        <v>0</v>
      </c>
      <c r="AB437" s="37">
        <v>0</v>
      </c>
      <c r="AC437" s="37">
        <v>0</v>
      </c>
      <c r="AD437" s="16">
        <f t="shared" si="200"/>
        <v>2991659.44</v>
      </c>
      <c r="AE437" s="37">
        <v>0</v>
      </c>
      <c r="AF437" s="2">
        <f t="shared" si="214"/>
        <v>2991659.44</v>
      </c>
      <c r="AG437" s="38" t="s">
        <v>486</v>
      </c>
      <c r="AH437" s="29"/>
      <c r="AI437" s="30">
        <v>0</v>
      </c>
      <c r="AJ437" s="30">
        <v>0</v>
      </c>
    </row>
    <row r="438" spans="1:36" ht="236.25" x14ac:dyDescent="0.25">
      <c r="A438" s="6">
        <v>435</v>
      </c>
      <c r="B438" s="31">
        <v>155098</v>
      </c>
      <c r="C438" s="11">
        <v>1249</v>
      </c>
      <c r="D438" s="9" t="s">
        <v>1638</v>
      </c>
      <c r="E438" s="24" t="s">
        <v>2012</v>
      </c>
      <c r="F438" s="11" t="s">
        <v>2244</v>
      </c>
      <c r="G438" s="11" t="s">
        <v>916</v>
      </c>
      <c r="H438" s="11" t="s">
        <v>151</v>
      </c>
      <c r="I438" s="12" t="s">
        <v>2854</v>
      </c>
      <c r="J438" s="25">
        <v>44715</v>
      </c>
      <c r="K438" s="25">
        <v>45202</v>
      </c>
      <c r="L438" s="26">
        <f t="shared" si="209"/>
        <v>85.000000181717979</v>
      </c>
      <c r="M438" s="11">
        <v>1</v>
      </c>
      <c r="N438" s="11" t="s">
        <v>185</v>
      </c>
      <c r="O438" s="11" t="s">
        <v>185</v>
      </c>
      <c r="P438" s="27" t="s">
        <v>174</v>
      </c>
      <c r="Q438" s="11" t="s">
        <v>34</v>
      </c>
      <c r="R438" s="37">
        <f>S438+T438</f>
        <v>2338788.86</v>
      </c>
      <c r="S438" s="37">
        <v>2338788.86</v>
      </c>
      <c r="T438" s="37">
        <v>0</v>
      </c>
      <c r="U438" s="37">
        <f t="shared" si="211"/>
        <v>357697.12</v>
      </c>
      <c r="V438" s="42">
        <v>357697.12</v>
      </c>
      <c r="W438" s="42">
        <v>0</v>
      </c>
      <c r="X438" s="131">
        <f t="shared" si="212"/>
        <v>55030.32</v>
      </c>
      <c r="Y438" s="133">
        <v>55030.32</v>
      </c>
      <c r="Z438" s="37">
        <v>0</v>
      </c>
      <c r="AA438" s="2">
        <f t="shared" si="213"/>
        <v>0</v>
      </c>
      <c r="AB438" s="37">
        <v>0</v>
      </c>
      <c r="AC438" s="37">
        <v>0</v>
      </c>
      <c r="AD438" s="16">
        <f t="shared" si="200"/>
        <v>2751516.3</v>
      </c>
      <c r="AE438" s="37">
        <v>0</v>
      </c>
      <c r="AF438" s="2">
        <f t="shared" si="214"/>
        <v>2751516.3</v>
      </c>
      <c r="AG438" s="38" t="s">
        <v>486</v>
      </c>
      <c r="AH438" s="29"/>
      <c r="AI438" s="30">
        <v>0</v>
      </c>
      <c r="AJ438" s="30">
        <v>0</v>
      </c>
    </row>
    <row r="439" spans="1:36" ht="409.5" x14ac:dyDescent="0.25">
      <c r="A439" s="6">
        <v>436</v>
      </c>
      <c r="B439" s="31">
        <v>118788</v>
      </c>
      <c r="C439" s="11">
        <v>445</v>
      </c>
      <c r="D439" s="32" t="s">
        <v>1639</v>
      </c>
      <c r="E439" s="32" t="s">
        <v>507</v>
      </c>
      <c r="F439" s="11" t="s">
        <v>735</v>
      </c>
      <c r="G439" s="11" t="s">
        <v>736</v>
      </c>
      <c r="H439" s="8" t="s">
        <v>151</v>
      </c>
      <c r="I439" s="32" t="s">
        <v>737</v>
      </c>
      <c r="J439" s="25">
        <v>43325</v>
      </c>
      <c r="K439" s="25">
        <v>43690</v>
      </c>
      <c r="L439" s="26">
        <f t="shared" ref="L439:L447" si="215">R439/AD439*100</f>
        <v>85.000001253240569</v>
      </c>
      <c r="M439" s="11">
        <v>2</v>
      </c>
      <c r="N439" s="11" t="s">
        <v>1917</v>
      </c>
      <c r="O439" s="11" t="s">
        <v>738</v>
      </c>
      <c r="P439" s="11" t="s">
        <v>174</v>
      </c>
      <c r="Q439" s="11" t="s">
        <v>34</v>
      </c>
      <c r="R439" s="30">
        <f t="shared" ref="R439:R447" si="216">S439+T439</f>
        <v>339120.85</v>
      </c>
      <c r="S439" s="30">
        <v>339120.85</v>
      </c>
      <c r="T439" s="41">
        <v>0</v>
      </c>
      <c r="U439" s="30">
        <f t="shared" ref="U439:U447" si="217">V439+W439</f>
        <v>51865.54</v>
      </c>
      <c r="V439" s="42">
        <v>51865.54</v>
      </c>
      <c r="W439" s="42">
        <v>0</v>
      </c>
      <c r="X439" s="30">
        <f t="shared" ref="X439:X447" si="218">Y439+Z439</f>
        <v>7979.31</v>
      </c>
      <c r="Y439" s="30">
        <v>7979.31</v>
      </c>
      <c r="Z439" s="30">
        <v>0</v>
      </c>
      <c r="AA439" s="2">
        <f t="shared" ref="AA439:AA447" si="219">AB439+AC439</f>
        <v>0</v>
      </c>
      <c r="AB439" s="2">
        <v>0</v>
      </c>
      <c r="AC439" s="2">
        <v>0</v>
      </c>
      <c r="AD439" s="16">
        <f t="shared" si="200"/>
        <v>398965.69999999995</v>
      </c>
      <c r="AE439" s="38"/>
      <c r="AF439" s="2">
        <f t="shared" ref="AF439:AF447" si="220">AD439+AE439</f>
        <v>398965.69999999995</v>
      </c>
      <c r="AG439" s="21" t="s">
        <v>857</v>
      </c>
      <c r="AH439" s="38" t="s">
        <v>151</v>
      </c>
      <c r="AI439" s="30">
        <v>285754.77</v>
      </c>
      <c r="AJ439" s="30">
        <v>43703.66</v>
      </c>
    </row>
    <row r="440" spans="1:36" ht="252" x14ac:dyDescent="0.25">
      <c r="A440" s="6">
        <v>437</v>
      </c>
      <c r="B440" s="31">
        <v>125665</v>
      </c>
      <c r="C440" s="11">
        <v>557</v>
      </c>
      <c r="D440" s="9" t="s">
        <v>1638</v>
      </c>
      <c r="E440" s="32" t="s">
        <v>899</v>
      </c>
      <c r="F440" s="11" t="s">
        <v>900</v>
      </c>
      <c r="G440" s="11" t="s">
        <v>1660</v>
      </c>
      <c r="H440" s="8" t="s">
        <v>151</v>
      </c>
      <c r="I440" s="32" t="s">
        <v>2855</v>
      </c>
      <c r="J440" s="25">
        <v>43425</v>
      </c>
      <c r="K440" s="25">
        <v>44916</v>
      </c>
      <c r="L440" s="26">
        <f t="shared" si="215"/>
        <v>84.999999890649349</v>
      </c>
      <c r="M440" s="11">
        <v>2</v>
      </c>
      <c r="N440" s="11" t="s">
        <v>1917</v>
      </c>
      <c r="O440" s="11" t="s">
        <v>738</v>
      </c>
      <c r="P440" s="11" t="s">
        <v>174</v>
      </c>
      <c r="Q440" s="11" t="s">
        <v>34</v>
      </c>
      <c r="R440" s="30">
        <f t="shared" si="216"/>
        <v>3497921.5</v>
      </c>
      <c r="S440" s="30">
        <v>3497921.5</v>
      </c>
      <c r="T440" s="41">
        <v>0</v>
      </c>
      <c r="U440" s="30">
        <f t="shared" si="217"/>
        <v>534976.2300000001</v>
      </c>
      <c r="V440" s="42">
        <v>534976.2300000001</v>
      </c>
      <c r="W440" s="42">
        <v>0</v>
      </c>
      <c r="X440" s="30">
        <f t="shared" si="218"/>
        <v>82304.039999999994</v>
      </c>
      <c r="Y440" s="30">
        <v>82304.039999999994</v>
      </c>
      <c r="Z440" s="30">
        <v>0</v>
      </c>
      <c r="AA440" s="2">
        <f t="shared" si="219"/>
        <v>0</v>
      </c>
      <c r="AB440" s="2">
        <v>0</v>
      </c>
      <c r="AC440" s="2">
        <v>0</v>
      </c>
      <c r="AD440" s="16">
        <f t="shared" si="200"/>
        <v>4115201.77</v>
      </c>
      <c r="AE440" s="38">
        <v>114240</v>
      </c>
      <c r="AF440" s="2">
        <f t="shared" si="220"/>
        <v>4229441.7699999996</v>
      </c>
      <c r="AG440" s="38" t="s">
        <v>486</v>
      </c>
      <c r="AH440" s="38" t="s">
        <v>2404</v>
      </c>
      <c r="AI440" s="30">
        <f>142406.78+91705.18+916635.69</f>
        <v>1150747.6499999999</v>
      </c>
      <c r="AJ440" s="30">
        <f>21779.86+14025.5+140191.34</f>
        <v>175996.7</v>
      </c>
    </row>
    <row r="441" spans="1:36" ht="157.5" x14ac:dyDescent="0.25">
      <c r="A441" s="6">
        <v>438</v>
      </c>
      <c r="B441" s="31">
        <v>136071</v>
      </c>
      <c r="C441" s="11">
        <v>768</v>
      </c>
      <c r="D441" s="9" t="s">
        <v>1638</v>
      </c>
      <c r="E441" s="24" t="s">
        <v>1441</v>
      </c>
      <c r="F441" s="31" t="s">
        <v>1451</v>
      </c>
      <c r="G441" s="11" t="s">
        <v>1660</v>
      </c>
      <c r="H441" s="8" t="s">
        <v>151</v>
      </c>
      <c r="I441" s="12" t="s">
        <v>2856</v>
      </c>
      <c r="J441" s="25">
        <v>43949</v>
      </c>
      <c r="K441" s="25">
        <v>44648</v>
      </c>
      <c r="L441" s="26">
        <f t="shared" si="215"/>
        <v>85</v>
      </c>
      <c r="M441" s="11">
        <v>2</v>
      </c>
      <c r="N441" s="11" t="s">
        <v>1917</v>
      </c>
      <c r="O441" s="11" t="s">
        <v>738</v>
      </c>
      <c r="P441" s="11" t="s">
        <v>174</v>
      </c>
      <c r="Q441" s="11" t="s">
        <v>34</v>
      </c>
      <c r="R441" s="30">
        <f t="shared" si="216"/>
        <v>576959.6</v>
      </c>
      <c r="S441" s="30">
        <v>576959.6</v>
      </c>
      <c r="T441" s="42">
        <v>0</v>
      </c>
      <c r="U441" s="30">
        <f t="shared" si="217"/>
        <v>88240.88</v>
      </c>
      <c r="V441" s="42">
        <v>88240.88</v>
      </c>
      <c r="W441" s="42">
        <v>0</v>
      </c>
      <c r="X441" s="30">
        <f t="shared" si="218"/>
        <v>13575.52</v>
      </c>
      <c r="Y441" s="30">
        <v>13575.52</v>
      </c>
      <c r="Z441" s="30">
        <v>0</v>
      </c>
      <c r="AA441" s="2">
        <f t="shared" si="219"/>
        <v>0</v>
      </c>
      <c r="AB441" s="2">
        <v>0</v>
      </c>
      <c r="AC441" s="2">
        <v>0</v>
      </c>
      <c r="AD441" s="16">
        <f t="shared" si="200"/>
        <v>678776</v>
      </c>
      <c r="AE441" s="38">
        <v>0</v>
      </c>
      <c r="AF441" s="2">
        <f t="shared" si="220"/>
        <v>678776</v>
      </c>
      <c r="AG441" s="38" t="s">
        <v>857</v>
      </c>
      <c r="AH441" s="38" t="s">
        <v>1795</v>
      </c>
      <c r="AI441" s="30">
        <f>112223.9+273641.1+143420.59</f>
        <v>529285.59</v>
      </c>
      <c r="AJ441" s="30">
        <f>17163.66+41850.99+21934.91</f>
        <v>80949.56</v>
      </c>
    </row>
    <row r="442" spans="1:36" ht="157.5" x14ac:dyDescent="0.25">
      <c r="A442" s="6">
        <v>439</v>
      </c>
      <c r="B442" s="31">
        <v>136088</v>
      </c>
      <c r="C442" s="11">
        <v>813</v>
      </c>
      <c r="D442" s="9" t="s">
        <v>1638</v>
      </c>
      <c r="E442" s="24" t="s">
        <v>1441</v>
      </c>
      <c r="F442" s="31" t="s">
        <v>1529</v>
      </c>
      <c r="G442" s="11" t="s">
        <v>736</v>
      </c>
      <c r="H442" s="8" t="s">
        <v>151</v>
      </c>
      <c r="I442" s="12" t="s">
        <v>1530</v>
      </c>
      <c r="J442" s="25">
        <v>43998</v>
      </c>
      <c r="K442" s="25">
        <v>44697</v>
      </c>
      <c r="L442" s="26">
        <f t="shared" si="215"/>
        <v>85.00000001266109</v>
      </c>
      <c r="M442" s="11">
        <v>2</v>
      </c>
      <c r="N442" s="11" t="s">
        <v>1917</v>
      </c>
      <c r="O442" s="11" t="s">
        <v>1531</v>
      </c>
      <c r="P442" s="11" t="s">
        <v>174</v>
      </c>
      <c r="Q442" s="11" t="s">
        <v>34</v>
      </c>
      <c r="R442" s="30">
        <f t="shared" si="216"/>
        <v>3356741.18</v>
      </c>
      <c r="S442" s="30">
        <v>3356741.18</v>
      </c>
      <c r="T442" s="42">
        <v>0</v>
      </c>
      <c r="U442" s="30">
        <f t="shared" si="217"/>
        <v>513383.94</v>
      </c>
      <c r="V442" s="42">
        <v>513383.94</v>
      </c>
      <c r="W442" s="42">
        <v>0</v>
      </c>
      <c r="X442" s="30">
        <f t="shared" si="218"/>
        <v>78982.149999999994</v>
      </c>
      <c r="Y442" s="30">
        <v>78982.149999999994</v>
      </c>
      <c r="Z442" s="30">
        <v>0</v>
      </c>
      <c r="AA442" s="2">
        <f t="shared" si="219"/>
        <v>0</v>
      </c>
      <c r="AB442" s="2">
        <v>0</v>
      </c>
      <c r="AC442" s="2">
        <v>0</v>
      </c>
      <c r="AD442" s="16">
        <f t="shared" si="200"/>
        <v>3949107.27</v>
      </c>
      <c r="AE442" s="38">
        <v>0</v>
      </c>
      <c r="AF442" s="2">
        <f t="shared" si="220"/>
        <v>3949107.27</v>
      </c>
      <c r="AG442" s="38" t="s">
        <v>857</v>
      </c>
      <c r="AH442" s="38" t="s">
        <v>1753</v>
      </c>
      <c r="AI442" s="30">
        <f>52842.15+27804.95+103071.85+658319.58+1619716.52+9644.1+27866.69</f>
        <v>2499265.84</v>
      </c>
      <c r="AJ442" s="30">
        <f>8081.74+4252.52+15763.93+100684.17+247721.35+1474.98+4261.96</f>
        <v>382240.65</v>
      </c>
    </row>
    <row r="443" spans="1:36" ht="141.75" x14ac:dyDescent="0.25">
      <c r="A443" s="6">
        <v>440</v>
      </c>
      <c r="B443" s="31">
        <v>152174</v>
      </c>
      <c r="C443" s="11">
        <v>1108</v>
      </c>
      <c r="D443" s="9" t="s">
        <v>1639</v>
      </c>
      <c r="E443" s="24" t="s">
        <v>1801</v>
      </c>
      <c r="F443" s="31" t="s">
        <v>1820</v>
      </c>
      <c r="G443" s="11" t="s">
        <v>1660</v>
      </c>
      <c r="H443" s="8" t="s">
        <v>151</v>
      </c>
      <c r="I443" s="12" t="s">
        <v>2857</v>
      </c>
      <c r="J443" s="25">
        <v>44481</v>
      </c>
      <c r="K443" s="25">
        <v>44969</v>
      </c>
      <c r="L443" s="26">
        <f t="shared" si="215"/>
        <v>85</v>
      </c>
      <c r="M443" s="11">
        <v>2</v>
      </c>
      <c r="N443" s="11" t="s">
        <v>1917</v>
      </c>
      <c r="O443" s="11" t="s">
        <v>738</v>
      </c>
      <c r="P443" s="11" t="s">
        <v>174</v>
      </c>
      <c r="Q443" s="11" t="s">
        <v>34</v>
      </c>
      <c r="R443" s="30">
        <f t="shared" si="216"/>
        <v>352639.5</v>
      </c>
      <c r="S443" s="30">
        <v>352639.5</v>
      </c>
      <c r="T443" s="42">
        <v>0</v>
      </c>
      <c r="U443" s="30">
        <f t="shared" si="217"/>
        <v>53933.1</v>
      </c>
      <c r="V443" s="42">
        <v>53933.1</v>
      </c>
      <c r="W443" s="42">
        <v>0</v>
      </c>
      <c r="X443" s="30">
        <f t="shared" si="218"/>
        <v>8297.4</v>
      </c>
      <c r="Y443" s="30">
        <v>8297.4</v>
      </c>
      <c r="Z443" s="30">
        <v>0</v>
      </c>
      <c r="AA443" s="2">
        <f t="shared" si="219"/>
        <v>0</v>
      </c>
      <c r="AB443" s="2">
        <v>0</v>
      </c>
      <c r="AC443" s="2">
        <v>0</v>
      </c>
      <c r="AD443" s="16">
        <f t="shared" si="200"/>
        <v>414870</v>
      </c>
      <c r="AE443" s="38">
        <v>0</v>
      </c>
      <c r="AF443" s="2">
        <f t="shared" si="220"/>
        <v>414870</v>
      </c>
      <c r="AG443" s="38" t="s">
        <v>486</v>
      </c>
      <c r="AH443" s="38"/>
      <c r="AI443" s="30">
        <v>4501.18</v>
      </c>
      <c r="AJ443" s="30">
        <v>688.42</v>
      </c>
    </row>
    <row r="444" spans="1:36" ht="204.75" x14ac:dyDescent="0.25">
      <c r="A444" s="6">
        <v>441</v>
      </c>
      <c r="B444" s="31">
        <v>152199</v>
      </c>
      <c r="C444" s="11">
        <v>1142</v>
      </c>
      <c r="D444" s="9" t="s">
        <v>1639</v>
      </c>
      <c r="E444" s="24" t="s">
        <v>1801</v>
      </c>
      <c r="F444" s="31" t="s">
        <v>1949</v>
      </c>
      <c r="G444" s="11" t="s">
        <v>1948</v>
      </c>
      <c r="H444" s="8" t="s">
        <v>151</v>
      </c>
      <c r="I444" s="12" t="s">
        <v>2858</v>
      </c>
      <c r="J444" s="25">
        <v>44551</v>
      </c>
      <c r="K444" s="25">
        <v>44916</v>
      </c>
      <c r="L444" s="26">
        <f t="shared" si="215"/>
        <v>85</v>
      </c>
      <c r="M444" s="11">
        <v>2</v>
      </c>
      <c r="N444" s="11" t="s">
        <v>1917</v>
      </c>
      <c r="O444" s="11" t="s">
        <v>1950</v>
      </c>
      <c r="P444" s="11" t="s">
        <v>174</v>
      </c>
      <c r="Q444" s="11" t="s">
        <v>34</v>
      </c>
      <c r="R444" s="30">
        <f t="shared" si="216"/>
        <v>334870.25</v>
      </c>
      <c r="S444" s="30">
        <v>334870.25</v>
      </c>
      <c r="T444" s="42">
        <v>0</v>
      </c>
      <c r="U444" s="30">
        <f t="shared" si="217"/>
        <v>51215.45</v>
      </c>
      <c r="V444" s="42">
        <v>51215.45</v>
      </c>
      <c r="W444" s="42">
        <v>0</v>
      </c>
      <c r="X444" s="30">
        <f t="shared" si="218"/>
        <v>7879.3</v>
      </c>
      <c r="Y444" s="30">
        <v>7879.3</v>
      </c>
      <c r="Z444" s="30">
        <v>0</v>
      </c>
      <c r="AA444" s="2">
        <f t="shared" si="219"/>
        <v>0</v>
      </c>
      <c r="AB444" s="2">
        <v>0</v>
      </c>
      <c r="AC444" s="2">
        <v>0</v>
      </c>
      <c r="AD444" s="16">
        <f t="shared" si="200"/>
        <v>393965</v>
      </c>
      <c r="AE444" s="38">
        <v>0</v>
      </c>
      <c r="AF444" s="2">
        <f t="shared" si="220"/>
        <v>393965</v>
      </c>
      <c r="AG444" s="38" t="s">
        <v>486</v>
      </c>
      <c r="AH444" s="38"/>
      <c r="AI444" s="30">
        <v>0</v>
      </c>
      <c r="AJ444" s="30">
        <v>0</v>
      </c>
    </row>
    <row r="445" spans="1:36" ht="173.25" x14ac:dyDescent="0.25">
      <c r="A445" s="6">
        <v>442</v>
      </c>
      <c r="B445" s="31">
        <v>154708</v>
      </c>
      <c r="C445" s="11">
        <v>1187</v>
      </c>
      <c r="D445" s="9" t="s">
        <v>1638</v>
      </c>
      <c r="E445" s="24" t="s">
        <v>2012</v>
      </c>
      <c r="F445" s="31" t="s">
        <v>2150</v>
      </c>
      <c r="G445" s="11" t="s">
        <v>736</v>
      </c>
      <c r="H445" s="8" t="s">
        <v>151</v>
      </c>
      <c r="I445" s="12" t="s">
        <v>2859</v>
      </c>
      <c r="J445" s="25">
        <v>44670</v>
      </c>
      <c r="K445" s="25">
        <v>45096</v>
      </c>
      <c r="L445" s="26">
        <f t="shared" si="215"/>
        <v>85.000000000000014</v>
      </c>
      <c r="M445" s="11">
        <v>2</v>
      </c>
      <c r="N445" s="11" t="s">
        <v>1917</v>
      </c>
      <c r="O445" s="11" t="s">
        <v>738</v>
      </c>
      <c r="P445" s="11" t="s">
        <v>174</v>
      </c>
      <c r="Q445" s="11" t="s">
        <v>34</v>
      </c>
      <c r="R445" s="30">
        <f t="shared" si="216"/>
        <v>514348.43</v>
      </c>
      <c r="S445" s="30">
        <v>514348.43</v>
      </c>
      <c r="T445" s="42">
        <v>0</v>
      </c>
      <c r="U445" s="30">
        <f t="shared" si="217"/>
        <v>78665.05</v>
      </c>
      <c r="V445" s="42">
        <v>78665.05</v>
      </c>
      <c r="W445" s="42">
        <v>0</v>
      </c>
      <c r="X445" s="30">
        <f t="shared" si="218"/>
        <v>12102.32</v>
      </c>
      <c r="Y445" s="30">
        <v>12102.32</v>
      </c>
      <c r="Z445" s="30">
        <v>0</v>
      </c>
      <c r="AA445" s="2">
        <f t="shared" si="219"/>
        <v>0</v>
      </c>
      <c r="AB445" s="2">
        <v>0</v>
      </c>
      <c r="AC445" s="2">
        <v>0</v>
      </c>
      <c r="AD445" s="16">
        <f t="shared" si="200"/>
        <v>605115.79999999993</v>
      </c>
      <c r="AE445" s="38">
        <v>0</v>
      </c>
      <c r="AF445" s="2">
        <f t="shared" si="220"/>
        <v>605115.79999999993</v>
      </c>
      <c r="AG445" s="38" t="s">
        <v>486</v>
      </c>
      <c r="AH445" s="38"/>
      <c r="AI445" s="30">
        <v>6059.4</v>
      </c>
      <c r="AJ445" s="30">
        <v>926.73</v>
      </c>
    </row>
    <row r="446" spans="1:36" ht="157.5" x14ac:dyDescent="0.25">
      <c r="A446" s="6">
        <v>443</v>
      </c>
      <c r="B446" s="31">
        <v>155129</v>
      </c>
      <c r="C446" s="11">
        <v>1228</v>
      </c>
      <c r="D446" s="9" t="s">
        <v>1638</v>
      </c>
      <c r="E446" s="24" t="s">
        <v>2012</v>
      </c>
      <c r="F446" s="31" t="s">
        <v>2170</v>
      </c>
      <c r="G446" s="11" t="s">
        <v>1660</v>
      </c>
      <c r="H446" s="8" t="s">
        <v>151</v>
      </c>
      <c r="I446" s="12" t="s">
        <v>2860</v>
      </c>
      <c r="J446" s="25">
        <v>44678</v>
      </c>
      <c r="K446" s="25">
        <v>45165</v>
      </c>
      <c r="L446" s="26">
        <f t="shared" si="215"/>
        <v>85</v>
      </c>
      <c r="M446" s="11">
        <v>2</v>
      </c>
      <c r="N446" s="11" t="s">
        <v>1917</v>
      </c>
      <c r="O446" s="11" t="s">
        <v>738</v>
      </c>
      <c r="P446" s="11" t="s">
        <v>174</v>
      </c>
      <c r="Q446" s="11" t="s">
        <v>34</v>
      </c>
      <c r="R446" s="30">
        <f t="shared" si="216"/>
        <v>2541292.6</v>
      </c>
      <c r="S446" s="30">
        <v>2541292.6</v>
      </c>
      <c r="T446" s="42">
        <v>0</v>
      </c>
      <c r="U446" s="30">
        <f t="shared" si="217"/>
        <v>388668.28</v>
      </c>
      <c r="V446" s="42">
        <v>388668.28</v>
      </c>
      <c r="W446" s="42">
        <v>0</v>
      </c>
      <c r="X446" s="30">
        <f t="shared" si="218"/>
        <v>59795.12</v>
      </c>
      <c r="Y446" s="30">
        <v>59795.12</v>
      </c>
      <c r="Z446" s="30">
        <v>0</v>
      </c>
      <c r="AA446" s="2">
        <f t="shared" si="219"/>
        <v>0</v>
      </c>
      <c r="AB446" s="2">
        <v>0</v>
      </c>
      <c r="AC446" s="2">
        <v>0</v>
      </c>
      <c r="AD446" s="16">
        <f t="shared" si="200"/>
        <v>2989756</v>
      </c>
      <c r="AE446" s="38">
        <v>0</v>
      </c>
      <c r="AF446" s="2">
        <f t="shared" si="220"/>
        <v>2989756</v>
      </c>
      <c r="AG446" s="38" t="s">
        <v>486</v>
      </c>
      <c r="AH446" s="38"/>
      <c r="AI446" s="30">
        <v>0</v>
      </c>
      <c r="AJ446" s="30">
        <v>0</v>
      </c>
    </row>
    <row r="447" spans="1:36" ht="267.75" x14ac:dyDescent="0.25">
      <c r="A447" s="6">
        <v>444</v>
      </c>
      <c r="B447" s="31">
        <v>154833</v>
      </c>
      <c r="C447" s="11">
        <v>1189</v>
      </c>
      <c r="D447" s="9" t="s">
        <v>1638</v>
      </c>
      <c r="E447" s="24" t="s">
        <v>2012</v>
      </c>
      <c r="F447" s="31" t="s">
        <v>2174</v>
      </c>
      <c r="G447" s="11" t="s">
        <v>1948</v>
      </c>
      <c r="H447" s="8" t="s">
        <v>151</v>
      </c>
      <c r="I447" s="12" t="s">
        <v>2861</v>
      </c>
      <c r="J447" s="25">
        <v>44680</v>
      </c>
      <c r="K447" s="25">
        <v>45167</v>
      </c>
      <c r="L447" s="26">
        <f t="shared" si="215"/>
        <v>85.000000088776247</v>
      </c>
      <c r="M447" s="11">
        <v>2</v>
      </c>
      <c r="N447" s="11" t="s">
        <v>1917</v>
      </c>
      <c r="O447" s="11" t="s">
        <v>1950</v>
      </c>
      <c r="P447" s="11" t="s">
        <v>174</v>
      </c>
      <c r="Q447" s="11" t="s">
        <v>34</v>
      </c>
      <c r="R447" s="30">
        <f t="shared" si="216"/>
        <v>3351121.51</v>
      </c>
      <c r="S447" s="30">
        <v>3351121.51</v>
      </c>
      <c r="T447" s="42">
        <v>0</v>
      </c>
      <c r="U447" s="30">
        <f t="shared" si="217"/>
        <v>512524.46</v>
      </c>
      <c r="V447" s="42">
        <v>512524.46</v>
      </c>
      <c r="W447" s="42">
        <v>0</v>
      </c>
      <c r="X447" s="30">
        <f t="shared" si="218"/>
        <v>78849.919999999998</v>
      </c>
      <c r="Y447" s="30">
        <v>78849.919999999998</v>
      </c>
      <c r="Z447" s="30">
        <v>0</v>
      </c>
      <c r="AA447" s="2">
        <f t="shared" si="219"/>
        <v>0</v>
      </c>
      <c r="AB447" s="2">
        <v>0</v>
      </c>
      <c r="AC447" s="2">
        <v>0</v>
      </c>
      <c r="AD447" s="16">
        <f t="shared" si="200"/>
        <v>3942495.8899999997</v>
      </c>
      <c r="AE447" s="38">
        <v>0</v>
      </c>
      <c r="AF447" s="2">
        <f t="shared" si="220"/>
        <v>3942495.8899999997</v>
      </c>
      <c r="AG447" s="38" t="s">
        <v>486</v>
      </c>
      <c r="AH447" s="38"/>
      <c r="AI447" s="30">
        <v>193000</v>
      </c>
      <c r="AJ447" s="30">
        <v>0</v>
      </c>
    </row>
    <row r="448" spans="1:36" ht="141.75" x14ac:dyDescent="0.25">
      <c r="A448" s="6">
        <v>445</v>
      </c>
      <c r="B448" s="31">
        <v>118894</v>
      </c>
      <c r="C448" s="11">
        <v>15</v>
      </c>
      <c r="D448" s="11" t="s">
        <v>143</v>
      </c>
      <c r="E448" s="10" t="s">
        <v>107</v>
      </c>
      <c r="F448" s="11" t="s">
        <v>58</v>
      </c>
      <c r="G448" s="27" t="s">
        <v>1737</v>
      </c>
      <c r="H448" s="8" t="s">
        <v>151</v>
      </c>
      <c r="I448" s="46" t="s">
        <v>59</v>
      </c>
      <c r="J448" s="25">
        <v>42717</v>
      </c>
      <c r="K448" s="25">
        <v>43995</v>
      </c>
      <c r="L448" s="26">
        <f t="shared" ref="L448:L456" si="221">R448/AD448*100</f>
        <v>83.983863051796376</v>
      </c>
      <c r="M448" s="11" t="s">
        <v>136</v>
      </c>
      <c r="N448" s="11" t="s">
        <v>261</v>
      </c>
      <c r="O448" s="11" t="s">
        <v>261</v>
      </c>
      <c r="P448" s="27" t="s">
        <v>138</v>
      </c>
      <c r="Q448" s="11" t="s">
        <v>34</v>
      </c>
      <c r="R448" s="2">
        <f t="shared" ref="R448:R456" si="222">S448+T448</f>
        <v>2106832.29</v>
      </c>
      <c r="S448" s="2">
        <v>1698976.68</v>
      </c>
      <c r="T448" s="2">
        <v>407855.61</v>
      </c>
      <c r="U448" s="2">
        <f t="shared" ref="U448:U456" si="223">V448+W448</f>
        <v>0</v>
      </c>
      <c r="V448" s="28">
        <v>0</v>
      </c>
      <c r="W448" s="28">
        <v>0</v>
      </c>
      <c r="X448" s="2">
        <f t="shared" ref="X448:X456" si="224">Y448+Z448</f>
        <v>401783.30999999994</v>
      </c>
      <c r="Y448" s="2">
        <v>299819.40999999997</v>
      </c>
      <c r="Z448" s="2">
        <v>101963.9</v>
      </c>
      <c r="AA448" s="2">
        <f t="shared" ref="AA448:AA456" si="225">AB448+AC448</f>
        <v>0</v>
      </c>
      <c r="AB448" s="2">
        <v>0</v>
      </c>
      <c r="AC448" s="2">
        <v>0</v>
      </c>
      <c r="AD448" s="16">
        <f t="shared" si="200"/>
        <v>2508615.6</v>
      </c>
      <c r="AE448" s="2">
        <v>154711.20000000001</v>
      </c>
      <c r="AF448" s="2">
        <f t="shared" ref="AF448:AF456" si="226">AD448+AE448</f>
        <v>2663326.8000000003</v>
      </c>
      <c r="AG448" s="38" t="s">
        <v>857</v>
      </c>
      <c r="AH448" s="29" t="s">
        <v>1206</v>
      </c>
      <c r="AI448" s="30">
        <f>749071.73+539901.84+5494.22</f>
        <v>1294467.7899999998</v>
      </c>
      <c r="AJ448" s="30">
        <v>0</v>
      </c>
    </row>
    <row r="449" spans="1:109" s="43" customFormat="1" ht="141.75" x14ac:dyDescent="0.25">
      <c r="A449" s="6">
        <v>446</v>
      </c>
      <c r="B449" s="31">
        <v>119196</v>
      </c>
      <c r="C449" s="11">
        <v>20</v>
      </c>
      <c r="D449" s="11" t="s">
        <v>143</v>
      </c>
      <c r="E449" s="10" t="s">
        <v>107</v>
      </c>
      <c r="F449" s="11" t="s">
        <v>65</v>
      </c>
      <c r="G449" s="27" t="s">
        <v>1678</v>
      </c>
      <c r="H449" s="11" t="s">
        <v>168</v>
      </c>
      <c r="I449" s="46" t="s">
        <v>66</v>
      </c>
      <c r="J449" s="25">
        <v>42464</v>
      </c>
      <c r="K449" s="25">
        <v>44351</v>
      </c>
      <c r="L449" s="26">
        <f t="shared" si="221"/>
        <v>83.983862957234891</v>
      </c>
      <c r="M449" s="11" t="s">
        <v>136</v>
      </c>
      <c r="N449" s="11" t="s">
        <v>261</v>
      </c>
      <c r="O449" s="11" t="s">
        <v>261</v>
      </c>
      <c r="P449" s="27" t="s">
        <v>138</v>
      </c>
      <c r="Q449" s="11" t="s">
        <v>34</v>
      </c>
      <c r="R449" s="2">
        <f t="shared" si="222"/>
        <v>14714221.08</v>
      </c>
      <c r="S449" s="2">
        <v>11865737.33</v>
      </c>
      <c r="T449" s="2">
        <v>2848483.75</v>
      </c>
      <c r="U449" s="2">
        <f t="shared" si="223"/>
        <v>0</v>
      </c>
      <c r="V449" s="28">
        <v>0</v>
      </c>
      <c r="W449" s="28">
        <v>0</v>
      </c>
      <c r="X449" s="2">
        <f t="shared" si="224"/>
        <v>2806074.56</v>
      </c>
      <c r="Y449" s="2">
        <v>2093953.62</v>
      </c>
      <c r="Z449" s="2">
        <v>712120.94</v>
      </c>
      <c r="AA449" s="2">
        <f t="shared" si="225"/>
        <v>0</v>
      </c>
      <c r="AB449" s="2">
        <v>0</v>
      </c>
      <c r="AC449" s="2">
        <v>0</v>
      </c>
      <c r="AD449" s="16">
        <f t="shared" si="200"/>
        <v>17520295.640000001</v>
      </c>
      <c r="AE449" s="2">
        <v>0</v>
      </c>
      <c r="AF449" s="2">
        <f t="shared" si="226"/>
        <v>17520295.640000001</v>
      </c>
      <c r="AG449" s="38" t="s">
        <v>857</v>
      </c>
      <c r="AH449" s="29" t="s">
        <v>1724</v>
      </c>
      <c r="AI449" s="118">
        <f>8318831+1813378.18+1752669.98+348361.29+643650.68+1117000.18</f>
        <v>13993891.309999999</v>
      </c>
      <c r="AJ449" s="30">
        <v>0</v>
      </c>
      <c r="AK449" s="179"/>
      <c r="AL449" s="179"/>
      <c r="AM449" s="179"/>
      <c r="AN449" s="179"/>
      <c r="AO449" s="179"/>
      <c r="AP449" s="179"/>
      <c r="AQ449" s="179"/>
      <c r="AR449" s="179"/>
      <c r="AS449" s="179"/>
      <c r="AT449" s="179"/>
      <c r="AU449" s="179"/>
      <c r="AV449" s="179"/>
      <c r="AW449" s="179"/>
      <c r="AX449" s="179"/>
      <c r="AY449" s="179"/>
      <c r="AZ449" s="179"/>
      <c r="BA449" s="179"/>
      <c r="BB449" s="179"/>
      <c r="BC449" s="179"/>
      <c r="BD449" s="179"/>
      <c r="BE449" s="179"/>
      <c r="BF449" s="179"/>
      <c r="BG449" s="179"/>
      <c r="BH449" s="179"/>
      <c r="BI449" s="179"/>
      <c r="BJ449" s="179"/>
      <c r="BK449" s="179"/>
      <c r="BL449" s="179"/>
      <c r="BM449" s="179"/>
      <c r="BN449" s="179"/>
      <c r="BO449" s="179"/>
      <c r="BP449" s="179"/>
      <c r="BQ449" s="179"/>
      <c r="BR449" s="179"/>
      <c r="BS449" s="179"/>
      <c r="BT449" s="179"/>
      <c r="BU449" s="179"/>
      <c r="BV449" s="179"/>
      <c r="BW449" s="179"/>
      <c r="BX449" s="179"/>
      <c r="BY449" s="179"/>
      <c r="BZ449" s="179"/>
      <c r="CA449" s="179"/>
      <c r="CB449" s="179"/>
      <c r="CC449" s="179"/>
      <c r="CD449" s="179"/>
      <c r="CE449" s="179"/>
      <c r="CF449" s="179"/>
      <c r="CG449" s="179"/>
      <c r="CH449" s="179"/>
      <c r="CI449" s="179"/>
      <c r="CJ449" s="179"/>
      <c r="CK449" s="179"/>
      <c r="CL449" s="179"/>
      <c r="CM449" s="179"/>
      <c r="CN449" s="179"/>
      <c r="CO449" s="179"/>
      <c r="CP449" s="179"/>
      <c r="CQ449" s="179"/>
      <c r="CR449" s="179"/>
      <c r="CS449" s="179"/>
      <c r="CT449" s="179"/>
      <c r="CU449" s="179"/>
      <c r="CV449" s="179"/>
      <c r="CW449" s="179"/>
      <c r="CX449" s="179"/>
      <c r="CY449" s="179"/>
      <c r="CZ449" s="179"/>
      <c r="DA449" s="179"/>
      <c r="DB449" s="179"/>
      <c r="DC449" s="179"/>
      <c r="DD449" s="179"/>
      <c r="DE449" s="179"/>
    </row>
    <row r="450" spans="1:109" s="43" customFormat="1" ht="141.75" x14ac:dyDescent="0.25">
      <c r="A450" s="6">
        <v>447</v>
      </c>
      <c r="B450" s="31">
        <v>119622</v>
      </c>
      <c r="C450" s="11">
        <v>45</v>
      </c>
      <c r="D450" s="11" t="s">
        <v>144</v>
      </c>
      <c r="E450" s="10" t="s">
        <v>148</v>
      </c>
      <c r="F450" s="11" t="s">
        <v>105</v>
      </c>
      <c r="G450" s="11" t="s">
        <v>104</v>
      </c>
      <c r="H450" s="8" t="s">
        <v>151</v>
      </c>
      <c r="I450" s="46" t="s">
        <v>106</v>
      </c>
      <c r="J450" s="25">
        <v>42793</v>
      </c>
      <c r="K450" s="25">
        <v>45287</v>
      </c>
      <c r="L450" s="26">
        <f t="shared" si="221"/>
        <v>83.983862948301422</v>
      </c>
      <c r="M450" s="11" t="s">
        <v>136</v>
      </c>
      <c r="N450" s="11" t="s">
        <v>261</v>
      </c>
      <c r="O450" s="11" t="s">
        <v>137</v>
      </c>
      <c r="P450" s="27" t="s">
        <v>138</v>
      </c>
      <c r="Q450" s="11" t="s">
        <v>34</v>
      </c>
      <c r="R450" s="2">
        <f t="shared" si="222"/>
        <v>37233996.5</v>
      </c>
      <c r="S450" s="2">
        <v>30025974.129999999</v>
      </c>
      <c r="T450" s="2">
        <v>7208022.3700000001</v>
      </c>
      <c r="U450" s="2">
        <f t="shared" si="223"/>
        <v>0</v>
      </c>
      <c r="V450" s="28">
        <v>0</v>
      </c>
      <c r="W450" s="28">
        <v>0</v>
      </c>
      <c r="X450" s="2">
        <f t="shared" si="224"/>
        <v>7100706.8499999996</v>
      </c>
      <c r="Y450" s="2">
        <v>5298701.3</v>
      </c>
      <c r="Z450" s="2">
        <v>1802005.55</v>
      </c>
      <c r="AA450" s="2">
        <f t="shared" si="225"/>
        <v>0</v>
      </c>
      <c r="AB450" s="2">
        <v>0</v>
      </c>
      <c r="AC450" s="2">
        <v>0</v>
      </c>
      <c r="AD450" s="16">
        <f t="shared" si="200"/>
        <v>44334703.350000001</v>
      </c>
      <c r="AE450" s="2">
        <v>427346.26</v>
      </c>
      <c r="AF450" s="2">
        <f t="shared" si="226"/>
        <v>44762049.609999999</v>
      </c>
      <c r="AG450" s="38" t="s">
        <v>486</v>
      </c>
      <c r="AH450" s="115" t="s">
        <v>1785</v>
      </c>
      <c r="AI450" s="118">
        <f>21632358.61+914374.27+187341.96+213356.8</f>
        <v>22947431.640000001</v>
      </c>
      <c r="AJ450" s="30">
        <v>0</v>
      </c>
      <c r="AK450" s="179"/>
      <c r="AL450" s="179"/>
      <c r="AM450" s="179"/>
      <c r="AN450" s="179"/>
      <c r="AO450" s="179"/>
      <c r="AP450" s="179"/>
      <c r="AQ450" s="179"/>
      <c r="AR450" s="179"/>
      <c r="AS450" s="179"/>
      <c r="AT450" s="179"/>
      <c r="AU450" s="179"/>
      <c r="AV450" s="179"/>
      <c r="AW450" s="179"/>
      <c r="AX450" s="179"/>
      <c r="AY450" s="179"/>
      <c r="AZ450" s="179"/>
      <c r="BA450" s="179"/>
      <c r="BB450" s="179"/>
      <c r="BC450" s="179"/>
      <c r="BD450" s="179"/>
      <c r="BE450" s="179"/>
      <c r="BF450" s="179"/>
      <c r="BG450" s="179"/>
      <c r="BH450" s="179"/>
      <c r="BI450" s="179"/>
      <c r="BJ450" s="179"/>
      <c r="BK450" s="179"/>
      <c r="BL450" s="179"/>
      <c r="BM450" s="179"/>
      <c r="BN450" s="179"/>
      <c r="BO450" s="179"/>
      <c r="BP450" s="179"/>
      <c r="BQ450" s="179"/>
      <c r="BR450" s="179"/>
      <c r="BS450" s="179"/>
      <c r="BT450" s="179"/>
      <c r="BU450" s="179"/>
      <c r="BV450" s="179"/>
      <c r="BW450" s="179"/>
      <c r="BX450" s="179"/>
      <c r="BY450" s="179"/>
      <c r="BZ450" s="179"/>
      <c r="CA450" s="179"/>
      <c r="CB450" s="179"/>
      <c r="CC450" s="179"/>
      <c r="CD450" s="179"/>
      <c r="CE450" s="179"/>
      <c r="CF450" s="179"/>
      <c r="CG450" s="179"/>
      <c r="CH450" s="179"/>
      <c r="CI450" s="179"/>
      <c r="CJ450" s="179"/>
      <c r="CK450" s="179"/>
      <c r="CL450" s="179"/>
      <c r="CM450" s="179"/>
      <c r="CN450" s="179"/>
      <c r="CO450" s="179"/>
      <c r="CP450" s="179"/>
      <c r="CQ450" s="179"/>
      <c r="CR450" s="179"/>
      <c r="CS450" s="179"/>
      <c r="CT450" s="179"/>
      <c r="CU450" s="179"/>
      <c r="CV450" s="179"/>
      <c r="CW450" s="179"/>
      <c r="CX450" s="179"/>
      <c r="CY450" s="179"/>
      <c r="CZ450" s="179"/>
      <c r="DA450" s="179"/>
      <c r="DB450" s="179"/>
      <c r="DC450" s="179"/>
      <c r="DD450" s="179"/>
      <c r="DE450" s="179"/>
    </row>
    <row r="451" spans="1:109" s="43" customFormat="1" ht="157.5" x14ac:dyDescent="0.25">
      <c r="A451" s="6">
        <v>448</v>
      </c>
      <c r="B451" s="31">
        <v>126388</v>
      </c>
      <c r="C451" s="11">
        <v>494</v>
      </c>
      <c r="D451" s="97" t="s">
        <v>1640</v>
      </c>
      <c r="E451" s="32" t="s">
        <v>983</v>
      </c>
      <c r="F451" s="11" t="s">
        <v>1005</v>
      </c>
      <c r="G451" s="11" t="s">
        <v>1006</v>
      </c>
      <c r="H451" s="8" t="s">
        <v>151</v>
      </c>
      <c r="I451" s="46" t="s">
        <v>1007</v>
      </c>
      <c r="J451" s="25">
        <v>43531</v>
      </c>
      <c r="K451" s="25">
        <v>44354</v>
      </c>
      <c r="L451" s="26">
        <f t="shared" si="221"/>
        <v>83.300001414159638</v>
      </c>
      <c r="M451" s="11">
        <v>3</v>
      </c>
      <c r="N451" s="11" t="s">
        <v>1008</v>
      </c>
      <c r="O451" s="11" t="s">
        <v>1008</v>
      </c>
      <c r="P451" s="11" t="s">
        <v>274</v>
      </c>
      <c r="Q451" s="11" t="s">
        <v>34</v>
      </c>
      <c r="R451" s="30">
        <f t="shared" si="222"/>
        <v>2043977.2</v>
      </c>
      <c r="S451" s="2">
        <v>2043977.2</v>
      </c>
      <c r="T451" s="2">
        <v>0</v>
      </c>
      <c r="U451" s="30">
        <f t="shared" si="223"/>
        <v>360701.81</v>
      </c>
      <c r="V451" s="28">
        <v>360701.81</v>
      </c>
      <c r="W451" s="28">
        <v>0</v>
      </c>
      <c r="X451" s="30">
        <f t="shared" si="224"/>
        <v>0</v>
      </c>
      <c r="Y451" s="2">
        <v>0</v>
      </c>
      <c r="Z451" s="2">
        <v>0</v>
      </c>
      <c r="AA451" s="2">
        <f t="shared" si="225"/>
        <v>49075.09</v>
      </c>
      <c r="AB451" s="2">
        <v>49075.09</v>
      </c>
      <c r="AC451" s="2">
        <v>0</v>
      </c>
      <c r="AD451" s="16">
        <f t="shared" si="200"/>
        <v>2453754.0999999996</v>
      </c>
      <c r="AE451" s="2">
        <v>0</v>
      </c>
      <c r="AF451" s="2">
        <f t="shared" si="226"/>
        <v>2453754.0999999996</v>
      </c>
      <c r="AG451" s="38" t="s">
        <v>857</v>
      </c>
      <c r="AH451" s="29" t="s">
        <v>1726</v>
      </c>
      <c r="AI451" s="118">
        <f>977058.3-20264.24+135094.98+54047.52-25686.26+171241.85+74985.72+121676.73-18717.97+270523.91-58965.53-27215.18</f>
        <v>1653779.83</v>
      </c>
      <c r="AJ451" s="30">
        <f>20492.1+14114.96+30257.86+15716.19+49417.45+20264.24+9537.82+25686.26+13232.76+21472.38+18717.97+25718.38+27215.18</f>
        <v>291843.55</v>
      </c>
    </row>
    <row r="452" spans="1:109" s="43" customFormat="1" ht="189" x14ac:dyDescent="0.25">
      <c r="A452" s="6">
        <v>449</v>
      </c>
      <c r="B452" s="31">
        <v>121858</v>
      </c>
      <c r="C452" s="11">
        <v>50</v>
      </c>
      <c r="D452" s="11" t="s">
        <v>143</v>
      </c>
      <c r="E452" s="24" t="s">
        <v>110</v>
      </c>
      <c r="F452" s="11" t="s">
        <v>376</v>
      </c>
      <c r="G452" s="27" t="s">
        <v>1717</v>
      </c>
      <c r="H452" s="8" t="s">
        <v>151</v>
      </c>
      <c r="I452" s="12" t="s">
        <v>377</v>
      </c>
      <c r="J452" s="25">
        <v>43229</v>
      </c>
      <c r="K452" s="25">
        <v>45239</v>
      </c>
      <c r="L452" s="26">
        <f t="shared" si="221"/>
        <v>83.983863026398055</v>
      </c>
      <c r="M452" s="11" t="s">
        <v>272</v>
      </c>
      <c r="N452" s="11" t="s">
        <v>261</v>
      </c>
      <c r="O452" s="11" t="s">
        <v>304</v>
      </c>
      <c r="P452" s="27" t="s">
        <v>138</v>
      </c>
      <c r="Q452" s="11" t="s">
        <v>34</v>
      </c>
      <c r="R452" s="2">
        <f t="shared" si="222"/>
        <v>9622258.8000000007</v>
      </c>
      <c r="S452" s="2">
        <v>7759513.3600000003</v>
      </c>
      <c r="T452" s="2">
        <v>1862745.44</v>
      </c>
      <c r="U452" s="2">
        <f t="shared" si="223"/>
        <v>0</v>
      </c>
      <c r="V452" s="28">
        <v>0</v>
      </c>
      <c r="W452" s="28">
        <v>0</v>
      </c>
      <c r="X452" s="2">
        <f t="shared" si="224"/>
        <v>1835012.22</v>
      </c>
      <c r="Y452" s="1">
        <v>1369325.89</v>
      </c>
      <c r="Z452" s="2">
        <v>465686.33</v>
      </c>
      <c r="AA452" s="2">
        <f t="shared" si="225"/>
        <v>0</v>
      </c>
      <c r="AB452" s="2">
        <v>0</v>
      </c>
      <c r="AC452" s="2">
        <v>0</v>
      </c>
      <c r="AD452" s="16">
        <f t="shared" si="200"/>
        <v>11457271.020000001</v>
      </c>
      <c r="AE452" s="2">
        <v>0</v>
      </c>
      <c r="AF452" s="2">
        <f t="shared" si="226"/>
        <v>11457271.020000001</v>
      </c>
      <c r="AG452" s="38" t="s">
        <v>486</v>
      </c>
      <c r="AH452" s="29" t="s">
        <v>2304</v>
      </c>
      <c r="AI452" s="118">
        <f>758641.61+55509.97+186093.97+162888.38+33585.15+36431.36+580054.7+101538.17+49467.34+688146.13+220422.7+1052870.06</f>
        <v>3925649.54</v>
      </c>
      <c r="AJ452" s="30">
        <v>0</v>
      </c>
      <c r="AK452" s="179"/>
      <c r="AL452" s="179"/>
      <c r="AM452" s="179"/>
      <c r="AN452" s="179"/>
      <c r="AO452" s="179"/>
      <c r="AP452" s="179"/>
      <c r="AQ452" s="179"/>
      <c r="AR452" s="179"/>
      <c r="AS452" s="179"/>
      <c r="AT452" s="179"/>
      <c r="AU452" s="179"/>
      <c r="AV452" s="179"/>
      <c r="AW452" s="179"/>
      <c r="AX452" s="179"/>
      <c r="AY452" s="179"/>
      <c r="AZ452" s="179"/>
      <c r="BA452" s="179"/>
      <c r="BB452" s="179"/>
      <c r="BC452" s="179"/>
      <c r="BD452" s="179"/>
      <c r="BE452" s="179"/>
      <c r="BF452" s="179"/>
      <c r="BG452" s="179"/>
      <c r="BH452" s="179"/>
      <c r="BI452" s="179"/>
      <c r="BJ452" s="179"/>
      <c r="BK452" s="179"/>
      <c r="BL452" s="179"/>
      <c r="BM452" s="179"/>
      <c r="BN452" s="179"/>
      <c r="BO452" s="179"/>
      <c r="BP452" s="179"/>
      <c r="BQ452" s="179"/>
      <c r="BR452" s="179"/>
      <c r="BS452" s="179"/>
      <c r="BT452" s="179"/>
      <c r="BU452" s="179"/>
      <c r="BV452" s="179"/>
      <c r="BW452" s="179"/>
      <c r="BX452" s="179"/>
      <c r="BY452" s="179"/>
      <c r="BZ452" s="179"/>
      <c r="CA452" s="179"/>
      <c r="CB452" s="179"/>
      <c r="CC452" s="179"/>
      <c r="CD452" s="179"/>
      <c r="CE452" s="179"/>
      <c r="CF452" s="179"/>
      <c r="CG452" s="179"/>
      <c r="CH452" s="179"/>
      <c r="CI452" s="179"/>
      <c r="CJ452" s="179"/>
      <c r="CK452" s="179"/>
      <c r="CL452" s="179"/>
      <c r="CM452" s="179"/>
      <c r="CN452" s="179"/>
      <c r="CO452" s="179"/>
      <c r="CP452" s="179"/>
      <c r="CQ452" s="179"/>
      <c r="CR452" s="179"/>
      <c r="CS452" s="179"/>
      <c r="CT452" s="179"/>
      <c r="CU452" s="179"/>
      <c r="CV452" s="179"/>
      <c r="CW452" s="179"/>
      <c r="CX452" s="179"/>
      <c r="CY452" s="179"/>
      <c r="CZ452" s="179"/>
      <c r="DA452" s="179"/>
      <c r="DB452" s="179"/>
      <c r="DC452" s="179"/>
      <c r="DD452" s="179"/>
      <c r="DE452" s="179"/>
    </row>
    <row r="453" spans="1:109" ht="173.25" x14ac:dyDescent="0.25">
      <c r="A453" s="6">
        <v>450</v>
      </c>
      <c r="B453" s="31">
        <v>120194</v>
      </c>
      <c r="C453" s="11">
        <v>52</v>
      </c>
      <c r="D453" s="11" t="s">
        <v>143</v>
      </c>
      <c r="E453" s="10" t="s">
        <v>110</v>
      </c>
      <c r="F453" s="11" t="s">
        <v>118</v>
      </c>
      <c r="G453" s="11" t="s">
        <v>117</v>
      </c>
      <c r="H453" s="8" t="s">
        <v>151</v>
      </c>
      <c r="I453" s="46" t="s">
        <v>119</v>
      </c>
      <c r="J453" s="25">
        <v>42963</v>
      </c>
      <c r="K453" s="25">
        <v>44212</v>
      </c>
      <c r="L453" s="26">
        <f t="shared" si="221"/>
        <v>83.983862831024851</v>
      </c>
      <c r="M453" s="11" t="s">
        <v>136</v>
      </c>
      <c r="N453" s="11" t="s">
        <v>261</v>
      </c>
      <c r="O453" s="11" t="s">
        <v>261</v>
      </c>
      <c r="P453" s="27" t="s">
        <v>138</v>
      </c>
      <c r="Q453" s="11" t="s">
        <v>34</v>
      </c>
      <c r="R453" s="2">
        <f t="shared" si="222"/>
        <v>12243037.969999999</v>
      </c>
      <c r="S453" s="2">
        <v>9872943.4499999993</v>
      </c>
      <c r="T453" s="2">
        <v>2370094.52</v>
      </c>
      <c r="U453" s="2">
        <f t="shared" si="223"/>
        <v>0</v>
      </c>
      <c r="V453" s="28">
        <v>0</v>
      </c>
      <c r="W453" s="28">
        <v>0</v>
      </c>
      <c r="X453" s="2">
        <f t="shared" si="224"/>
        <v>2334807.77</v>
      </c>
      <c r="Y453" s="2">
        <v>1742284.14</v>
      </c>
      <c r="Z453" s="2">
        <v>592523.63</v>
      </c>
      <c r="AA453" s="2">
        <f t="shared" si="225"/>
        <v>0</v>
      </c>
      <c r="AB453" s="2">
        <v>0</v>
      </c>
      <c r="AC453" s="2">
        <v>0</v>
      </c>
      <c r="AD453" s="16">
        <f t="shared" ref="AD453:AD516" si="227">R453+U453+X453+AA453</f>
        <v>14577845.739999998</v>
      </c>
      <c r="AE453" s="2">
        <v>0</v>
      </c>
      <c r="AF453" s="2">
        <f t="shared" si="226"/>
        <v>14577845.739999998</v>
      </c>
      <c r="AG453" s="38" t="s">
        <v>857</v>
      </c>
      <c r="AH453" s="22" t="s">
        <v>1204</v>
      </c>
      <c r="AI453" s="118">
        <f>2619250.29+2687296.53+82985.27+2490702.85+40178.04</f>
        <v>7920412.9799999995</v>
      </c>
      <c r="AJ453" s="118">
        <v>0</v>
      </c>
      <c r="AK453" s="188"/>
      <c r="AL453" s="188"/>
      <c r="AM453" s="188"/>
      <c r="AN453" s="188"/>
      <c r="AO453" s="188"/>
      <c r="AP453" s="188"/>
      <c r="AQ453" s="188"/>
      <c r="AR453" s="188"/>
      <c r="AS453" s="188"/>
      <c r="AT453" s="188"/>
      <c r="AU453" s="188"/>
      <c r="AV453" s="188"/>
      <c r="AW453" s="188"/>
      <c r="AX453" s="188"/>
      <c r="AY453" s="188"/>
      <c r="AZ453" s="188"/>
      <c r="BA453" s="188"/>
      <c r="BB453" s="188"/>
      <c r="BC453" s="188"/>
      <c r="BD453" s="188"/>
      <c r="BE453" s="188"/>
      <c r="BF453" s="188"/>
      <c r="BG453" s="188"/>
      <c r="BH453" s="188"/>
      <c r="BI453" s="188"/>
      <c r="BJ453" s="188"/>
      <c r="BK453" s="188"/>
      <c r="BL453" s="188"/>
      <c r="BM453" s="188"/>
      <c r="BN453" s="188"/>
      <c r="BO453" s="188"/>
      <c r="BP453" s="188"/>
      <c r="BQ453" s="188"/>
      <c r="BR453" s="188"/>
      <c r="BS453" s="188"/>
      <c r="BT453" s="188"/>
      <c r="BU453" s="188"/>
      <c r="BV453" s="188"/>
      <c r="BW453" s="188"/>
      <c r="BX453" s="188"/>
      <c r="BY453" s="188"/>
      <c r="BZ453" s="188"/>
      <c r="CA453" s="188"/>
      <c r="CB453" s="188"/>
      <c r="CC453" s="188"/>
      <c r="CD453" s="188"/>
      <c r="CE453" s="188"/>
      <c r="CF453" s="188"/>
      <c r="CG453" s="188"/>
      <c r="CH453" s="188"/>
      <c r="CI453" s="188"/>
      <c r="CJ453" s="188"/>
      <c r="CK453" s="188"/>
      <c r="CL453" s="188"/>
      <c r="CM453" s="188"/>
      <c r="CN453" s="188"/>
      <c r="CO453" s="188"/>
      <c r="CP453" s="188"/>
      <c r="CQ453" s="188"/>
      <c r="CR453" s="188"/>
      <c r="CS453" s="188"/>
      <c r="CT453" s="188"/>
      <c r="CU453" s="188"/>
      <c r="CV453" s="188"/>
      <c r="CW453" s="188"/>
      <c r="CX453" s="188"/>
      <c r="CY453" s="188"/>
      <c r="CZ453" s="188"/>
      <c r="DA453" s="188"/>
      <c r="DB453" s="188"/>
      <c r="DC453" s="188"/>
      <c r="DD453" s="188"/>
      <c r="DE453" s="188"/>
    </row>
    <row r="454" spans="1:109" ht="141.75" x14ac:dyDescent="0.25">
      <c r="A454" s="6">
        <v>451</v>
      </c>
      <c r="B454" s="31">
        <v>119689</v>
      </c>
      <c r="C454" s="11">
        <v>53</v>
      </c>
      <c r="D454" s="11" t="s">
        <v>145</v>
      </c>
      <c r="E454" s="10" t="s">
        <v>123</v>
      </c>
      <c r="F454" s="11" t="s">
        <v>95</v>
      </c>
      <c r="G454" s="11" t="s">
        <v>94</v>
      </c>
      <c r="H454" s="8" t="s">
        <v>151</v>
      </c>
      <c r="I454" s="46" t="s">
        <v>96</v>
      </c>
      <c r="J454" s="25">
        <v>42943</v>
      </c>
      <c r="K454" s="25">
        <v>44739</v>
      </c>
      <c r="L454" s="26">
        <f t="shared" si="221"/>
        <v>83.983862837568367</v>
      </c>
      <c r="M454" s="11" t="s">
        <v>136</v>
      </c>
      <c r="N454" s="11" t="s">
        <v>261</v>
      </c>
      <c r="O454" s="11" t="s">
        <v>261</v>
      </c>
      <c r="P454" s="27" t="s">
        <v>138</v>
      </c>
      <c r="Q454" s="11" t="s">
        <v>34</v>
      </c>
      <c r="R454" s="2">
        <f t="shared" si="222"/>
        <v>39276554.340000004</v>
      </c>
      <c r="S454" s="2">
        <v>31673119.100000001</v>
      </c>
      <c r="T454" s="2">
        <v>7603435.2400000002</v>
      </c>
      <c r="U454" s="2">
        <f t="shared" si="223"/>
        <v>0</v>
      </c>
      <c r="V454" s="28">
        <v>0</v>
      </c>
      <c r="W454" s="28">
        <v>0</v>
      </c>
      <c r="X454" s="2">
        <f t="shared" si="224"/>
        <v>7490232.7699999996</v>
      </c>
      <c r="Y454" s="2">
        <v>5589373.96</v>
      </c>
      <c r="Z454" s="2">
        <v>1900858.81</v>
      </c>
      <c r="AA454" s="2">
        <f t="shared" si="225"/>
        <v>0</v>
      </c>
      <c r="AB454" s="2">
        <v>0</v>
      </c>
      <c r="AC454" s="2">
        <v>0</v>
      </c>
      <c r="AD454" s="16">
        <f t="shared" si="227"/>
        <v>46766787.109999999</v>
      </c>
      <c r="AE454" s="2">
        <v>8017329.8399999999</v>
      </c>
      <c r="AF454" s="2">
        <f t="shared" si="226"/>
        <v>54784116.950000003</v>
      </c>
      <c r="AG454" s="38" t="s">
        <v>857</v>
      </c>
      <c r="AH454" s="29" t="s">
        <v>1852</v>
      </c>
      <c r="AI454" s="118">
        <f>893011.08+57943.42+89664.62+27536822.34+524337.27+55114.41+71307.34+1108602.27+7959970.1</f>
        <v>38296772.850000001</v>
      </c>
      <c r="AJ454" s="30">
        <v>0</v>
      </c>
    </row>
    <row r="455" spans="1:109" ht="409.5" x14ac:dyDescent="0.25">
      <c r="A455" s="6">
        <v>452</v>
      </c>
      <c r="B455" s="31">
        <v>125819</v>
      </c>
      <c r="C455" s="11">
        <v>497</v>
      </c>
      <c r="D455" s="97" t="s">
        <v>1640</v>
      </c>
      <c r="E455" s="32" t="s">
        <v>983</v>
      </c>
      <c r="F455" s="31" t="s">
        <v>1067</v>
      </c>
      <c r="G455" s="11" t="s">
        <v>1065</v>
      </c>
      <c r="H455" s="8" t="s">
        <v>151</v>
      </c>
      <c r="I455" s="134" t="s">
        <v>2862</v>
      </c>
      <c r="J455" s="25">
        <v>43608</v>
      </c>
      <c r="K455" s="25">
        <v>44918</v>
      </c>
      <c r="L455" s="26">
        <f t="shared" si="221"/>
        <v>83.30000063911281</v>
      </c>
      <c r="M455" s="40" t="s">
        <v>1070</v>
      </c>
      <c r="N455" s="11" t="s">
        <v>1069</v>
      </c>
      <c r="O455" s="11" t="s">
        <v>1069</v>
      </c>
      <c r="P455" s="11" t="s">
        <v>274</v>
      </c>
      <c r="Q455" s="11" t="s">
        <v>34</v>
      </c>
      <c r="R455" s="30">
        <f t="shared" si="222"/>
        <v>1444133.16</v>
      </c>
      <c r="S455" s="93">
        <v>1444133.16</v>
      </c>
      <c r="T455" s="34">
        <v>0</v>
      </c>
      <c r="U455" s="30">
        <f t="shared" si="223"/>
        <v>254847.02</v>
      </c>
      <c r="V455" s="42">
        <v>254847.02</v>
      </c>
      <c r="W455" s="42">
        <v>0</v>
      </c>
      <c r="X455" s="30">
        <f t="shared" si="224"/>
        <v>0</v>
      </c>
      <c r="Y455" s="34">
        <v>0</v>
      </c>
      <c r="Z455" s="34">
        <v>0</v>
      </c>
      <c r="AA455" s="2">
        <f t="shared" si="225"/>
        <v>34673.06</v>
      </c>
      <c r="AB455" s="93">
        <v>34673.06</v>
      </c>
      <c r="AC455" s="34">
        <v>0</v>
      </c>
      <c r="AD455" s="16">
        <f t="shared" si="227"/>
        <v>1733653.24</v>
      </c>
      <c r="AE455" s="35">
        <v>0</v>
      </c>
      <c r="AF455" s="2">
        <f t="shared" si="226"/>
        <v>1733653.24</v>
      </c>
      <c r="AG455" s="38" t="s">
        <v>486</v>
      </c>
      <c r="AH455" s="38" t="s">
        <v>1869</v>
      </c>
      <c r="AI455" s="118">
        <v>876419.52999999991</v>
      </c>
      <c r="AJ455" s="30">
        <v>124068.47000000002</v>
      </c>
    </row>
    <row r="456" spans="1:109" ht="409.5" x14ac:dyDescent="0.25">
      <c r="A456" s="6">
        <v>453</v>
      </c>
      <c r="B456" s="31">
        <v>126526</v>
      </c>
      <c r="C456" s="11">
        <v>498</v>
      </c>
      <c r="D456" s="97" t="s">
        <v>1640</v>
      </c>
      <c r="E456" s="32" t="s">
        <v>983</v>
      </c>
      <c r="F456" s="31" t="s">
        <v>1068</v>
      </c>
      <c r="G456" s="11" t="s">
        <v>1066</v>
      </c>
      <c r="H456" s="8" t="s">
        <v>151</v>
      </c>
      <c r="I456" s="134" t="s">
        <v>2863</v>
      </c>
      <c r="J456" s="25">
        <v>43608</v>
      </c>
      <c r="K456" s="25">
        <v>45069</v>
      </c>
      <c r="L456" s="26">
        <f t="shared" si="221"/>
        <v>83.30000063911281</v>
      </c>
      <c r="M456" s="40" t="s">
        <v>1070</v>
      </c>
      <c r="N456" s="11" t="s">
        <v>1069</v>
      </c>
      <c r="O456" s="11" t="s">
        <v>1069</v>
      </c>
      <c r="P456" s="11" t="s">
        <v>274</v>
      </c>
      <c r="Q456" s="11" t="s">
        <v>34</v>
      </c>
      <c r="R456" s="30">
        <f t="shared" si="222"/>
        <v>1444133.16</v>
      </c>
      <c r="S456" s="93">
        <v>1444133.16</v>
      </c>
      <c r="T456" s="34">
        <v>0</v>
      </c>
      <c r="U456" s="30">
        <f t="shared" si="223"/>
        <v>254847.02</v>
      </c>
      <c r="V456" s="42">
        <v>254847.02</v>
      </c>
      <c r="W456" s="42">
        <v>0</v>
      </c>
      <c r="X456" s="30">
        <f t="shared" si="224"/>
        <v>0</v>
      </c>
      <c r="Y456" s="34">
        <v>0</v>
      </c>
      <c r="Z456" s="34">
        <v>0</v>
      </c>
      <c r="AA456" s="2">
        <f t="shared" si="225"/>
        <v>34673.06</v>
      </c>
      <c r="AB456" s="93">
        <v>34673.06</v>
      </c>
      <c r="AC456" s="34">
        <v>0</v>
      </c>
      <c r="AD456" s="16">
        <f t="shared" si="227"/>
        <v>1733653.24</v>
      </c>
      <c r="AE456" s="35">
        <v>0</v>
      </c>
      <c r="AF456" s="2">
        <f t="shared" si="226"/>
        <v>1733653.24</v>
      </c>
      <c r="AG456" s="38" t="s">
        <v>486</v>
      </c>
      <c r="AH456" s="38" t="s">
        <v>2141</v>
      </c>
      <c r="AI456" s="118">
        <v>790001.63</v>
      </c>
      <c r="AJ456" s="30">
        <f>21800.36+70103.02+16914.85</f>
        <v>108818.23000000001</v>
      </c>
    </row>
    <row r="457" spans="1:109" ht="173.25" x14ac:dyDescent="0.25">
      <c r="A457" s="6">
        <v>454</v>
      </c>
      <c r="B457" s="31">
        <v>126480</v>
      </c>
      <c r="C457" s="31">
        <v>495</v>
      </c>
      <c r="D457" s="97" t="s">
        <v>1640</v>
      </c>
      <c r="E457" s="32" t="s">
        <v>983</v>
      </c>
      <c r="F457" s="11" t="s">
        <v>1029</v>
      </c>
      <c r="G457" s="11" t="s">
        <v>1030</v>
      </c>
      <c r="H457" s="8" t="s">
        <v>151</v>
      </c>
      <c r="I457" s="134" t="s">
        <v>2864</v>
      </c>
      <c r="J457" s="25">
        <v>43553</v>
      </c>
      <c r="K457" s="25">
        <v>43980</v>
      </c>
      <c r="L457" s="26">
        <f>R457/AD457*100</f>
        <v>83.300002424250337</v>
      </c>
      <c r="M457" s="40">
        <v>6</v>
      </c>
      <c r="N457" s="135" t="s">
        <v>182</v>
      </c>
      <c r="O457" s="135" t="s">
        <v>182</v>
      </c>
      <c r="P457" s="11" t="s">
        <v>274</v>
      </c>
      <c r="Q457" s="11" t="s">
        <v>34</v>
      </c>
      <c r="R457" s="30">
        <f>S457+T457</f>
        <v>876896.26</v>
      </c>
      <c r="S457" s="93">
        <v>876896.26</v>
      </c>
      <c r="T457" s="34">
        <v>0</v>
      </c>
      <c r="U457" s="30">
        <f>V457+W457</f>
        <v>154746.38</v>
      </c>
      <c r="V457" s="42">
        <v>154746.38</v>
      </c>
      <c r="W457" s="42">
        <v>0</v>
      </c>
      <c r="X457" s="30">
        <f>Y457+Z457</f>
        <v>0</v>
      </c>
      <c r="Y457" s="34">
        <v>0</v>
      </c>
      <c r="Z457" s="34">
        <v>0</v>
      </c>
      <c r="AA457" s="2">
        <f>AB457+AC457</f>
        <v>21053.919999999998</v>
      </c>
      <c r="AB457" s="93">
        <v>21053.919999999998</v>
      </c>
      <c r="AC457" s="34">
        <v>0</v>
      </c>
      <c r="AD457" s="16">
        <f t="shared" si="227"/>
        <v>1052696.56</v>
      </c>
      <c r="AE457" s="37">
        <v>10640</v>
      </c>
      <c r="AF457" s="2">
        <f>AD457+AE457</f>
        <v>1063336.56</v>
      </c>
      <c r="AG457" s="38" t="s">
        <v>857</v>
      </c>
      <c r="AH457" s="38" t="s">
        <v>1439</v>
      </c>
      <c r="AI457" s="30">
        <f>758406.35-27875.87</f>
        <v>730530.48</v>
      </c>
      <c r="AJ457" s="30">
        <f>115306.95+13610.14</f>
        <v>128917.09</v>
      </c>
    </row>
    <row r="458" spans="1:109" s="43" customFormat="1" ht="173.25" x14ac:dyDescent="0.25">
      <c r="A458" s="6">
        <v>455</v>
      </c>
      <c r="B458" s="31">
        <v>151021</v>
      </c>
      <c r="C458" s="11">
        <v>957</v>
      </c>
      <c r="D458" s="11" t="s">
        <v>1638</v>
      </c>
      <c r="E458" s="24" t="s">
        <v>2255</v>
      </c>
      <c r="F458" s="11" t="s">
        <v>2257</v>
      </c>
      <c r="G458" s="27" t="s">
        <v>2256</v>
      </c>
      <c r="H458" s="8" t="s">
        <v>151</v>
      </c>
      <c r="I458" s="46" t="s">
        <v>2865</v>
      </c>
      <c r="J458" s="25">
        <v>44727</v>
      </c>
      <c r="K458" s="25">
        <v>45092</v>
      </c>
      <c r="L458" s="26">
        <f t="shared" ref="L458:L595" si="228">R458/AD458*100</f>
        <v>83.300000000000011</v>
      </c>
      <c r="M458" s="11" t="s">
        <v>2262</v>
      </c>
      <c r="N458" s="11" t="s">
        <v>2258</v>
      </c>
      <c r="O458" s="11" t="s">
        <v>2259</v>
      </c>
      <c r="P458" s="11" t="s">
        <v>274</v>
      </c>
      <c r="Q458" s="11" t="s">
        <v>34</v>
      </c>
      <c r="R458" s="2">
        <f>S458+T458</f>
        <v>308185.01</v>
      </c>
      <c r="S458" s="2">
        <v>308185.01</v>
      </c>
      <c r="T458" s="2">
        <v>0</v>
      </c>
      <c r="U458" s="2">
        <f>V458+W458</f>
        <v>54385.59</v>
      </c>
      <c r="V458" s="28">
        <v>54385.59</v>
      </c>
      <c r="W458" s="28">
        <v>0</v>
      </c>
      <c r="X458" s="2">
        <f>Y458+Z458</f>
        <v>0</v>
      </c>
      <c r="Y458" s="2">
        <v>0</v>
      </c>
      <c r="Z458" s="2">
        <v>0</v>
      </c>
      <c r="AA458" s="2">
        <f>AB458+AC458</f>
        <v>7399.4</v>
      </c>
      <c r="AB458" s="2">
        <v>7399.4</v>
      </c>
      <c r="AC458" s="2">
        <v>0</v>
      </c>
      <c r="AD458" s="16">
        <f t="shared" si="227"/>
        <v>369970</v>
      </c>
      <c r="AE458" s="2">
        <v>0</v>
      </c>
      <c r="AF458" s="2">
        <f>AD458+AE458</f>
        <v>369970</v>
      </c>
      <c r="AG458" s="38" t="s">
        <v>486</v>
      </c>
      <c r="AH458" s="29"/>
      <c r="AI458" s="118">
        <f>36997-4725.26</f>
        <v>32271.739999999998</v>
      </c>
      <c r="AJ458" s="30">
        <f>4725.26</f>
        <v>4725.26</v>
      </c>
      <c r="AK458" s="179"/>
    </row>
    <row r="459" spans="1:109" s="43" customFormat="1" ht="141.75" x14ac:dyDescent="0.25">
      <c r="A459" s="6">
        <v>456</v>
      </c>
      <c r="B459" s="31">
        <v>151312</v>
      </c>
      <c r="C459" s="11">
        <v>973</v>
      </c>
      <c r="D459" s="11" t="s">
        <v>1638</v>
      </c>
      <c r="E459" s="24" t="s">
        <v>2255</v>
      </c>
      <c r="F459" s="11" t="s">
        <v>2261</v>
      </c>
      <c r="G459" s="27" t="s">
        <v>2260</v>
      </c>
      <c r="H459" s="8" t="s">
        <v>151</v>
      </c>
      <c r="I459" s="46" t="s">
        <v>2263</v>
      </c>
      <c r="J459" s="25">
        <v>44728</v>
      </c>
      <c r="K459" s="25">
        <v>45154</v>
      </c>
      <c r="L459" s="26">
        <f t="shared" si="228"/>
        <v>83.300001696186598</v>
      </c>
      <c r="M459" s="11">
        <v>6</v>
      </c>
      <c r="N459" s="11" t="s">
        <v>416</v>
      </c>
      <c r="O459" s="11" t="s">
        <v>678</v>
      </c>
      <c r="P459" s="11" t="s">
        <v>274</v>
      </c>
      <c r="Q459" s="11" t="s">
        <v>34</v>
      </c>
      <c r="R459" s="2">
        <f t="shared" ref="R459:R521" si="229">S459+T459</f>
        <v>353593.18</v>
      </c>
      <c r="S459" s="2">
        <v>353593.18</v>
      </c>
      <c r="T459" s="2">
        <v>0</v>
      </c>
      <c r="U459" s="2">
        <f t="shared" ref="U459:U521" si="230">V459+W459</f>
        <v>62398.78</v>
      </c>
      <c r="V459" s="28">
        <v>62398.78</v>
      </c>
      <c r="W459" s="28">
        <v>0</v>
      </c>
      <c r="X459" s="2">
        <f t="shared" ref="X459:X521" si="231">Y459+Z459</f>
        <v>0</v>
      </c>
      <c r="Y459" s="2">
        <v>0</v>
      </c>
      <c r="Z459" s="2">
        <v>0</v>
      </c>
      <c r="AA459" s="2">
        <f t="shared" ref="AA459:AA521" si="232">AB459+AC459</f>
        <v>8489.64</v>
      </c>
      <c r="AB459" s="2">
        <v>8489.64</v>
      </c>
      <c r="AC459" s="2">
        <v>0</v>
      </c>
      <c r="AD459" s="16">
        <f t="shared" si="227"/>
        <v>424481.6</v>
      </c>
      <c r="AE459" s="2">
        <v>0</v>
      </c>
      <c r="AF459" s="2">
        <f t="shared" ref="AF459:AF521" si="233">AD459+AE459</f>
        <v>424481.6</v>
      </c>
      <c r="AG459" s="38" t="s">
        <v>486</v>
      </c>
      <c r="AH459" s="29"/>
      <c r="AI459" s="118">
        <v>41599</v>
      </c>
      <c r="AJ459" s="30">
        <v>0</v>
      </c>
      <c r="AK459" s="179"/>
    </row>
    <row r="460" spans="1:109" s="43" customFormat="1" ht="157.5" x14ac:dyDescent="0.25">
      <c r="A460" s="6">
        <v>457</v>
      </c>
      <c r="B460" s="31">
        <v>151314</v>
      </c>
      <c r="C460" s="11">
        <v>974</v>
      </c>
      <c r="D460" s="11" t="s">
        <v>1638</v>
      </c>
      <c r="E460" s="24" t="s">
        <v>2255</v>
      </c>
      <c r="F460" s="11" t="s">
        <v>2265</v>
      </c>
      <c r="G460" s="27" t="s">
        <v>2264</v>
      </c>
      <c r="H460" s="8" t="s">
        <v>151</v>
      </c>
      <c r="I460" s="46" t="s">
        <v>2268</v>
      </c>
      <c r="J460" s="25">
        <v>44726</v>
      </c>
      <c r="K460" s="25">
        <v>45152</v>
      </c>
      <c r="L460" s="26">
        <f t="shared" si="228"/>
        <v>83.299999762874137</v>
      </c>
      <c r="M460" s="11">
        <v>5</v>
      </c>
      <c r="N460" s="11" t="s">
        <v>2266</v>
      </c>
      <c r="O460" s="11" t="s">
        <v>2267</v>
      </c>
      <c r="P460" s="11" t="s">
        <v>274</v>
      </c>
      <c r="Q460" s="11" t="s">
        <v>34</v>
      </c>
      <c r="R460" s="2">
        <f t="shared" si="229"/>
        <v>351290.26</v>
      </c>
      <c r="S460" s="2">
        <v>351290.26</v>
      </c>
      <c r="T460" s="2">
        <v>0</v>
      </c>
      <c r="U460" s="2">
        <f t="shared" si="230"/>
        <v>61992.4</v>
      </c>
      <c r="V460" s="28">
        <v>61992.4</v>
      </c>
      <c r="W460" s="28">
        <v>0</v>
      </c>
      <c r="X460" s="2">
        <f t="shared" si="231"/>
        <v>0</v>
      </c>
      <c r="Y460" s="2">
        <v>0</v>
      </c>
      <c r="Z460" s="2">
        <v>0</v>
      </c>
      <c r="AA460" s="2">
        <f t="shared" si="232"/>
        <v>8434.34</v>
      </c>
      <c r="AB460" s="2">
        <v>8434.34</v>
      </c>
      <c r="AC460" s="2">
        <v>0</v>
      </c>
      <c r="AD460" s="16">
        <f t="shared" si="227"/>
        <v>421717.00000000006</v>
      </c>
      <c r="AE460" s="2">
        <v>0</v>
      </c>
      <c r="AF460" s="2">
        <f t="shared" si="233"/>
        <v>421717.00000000006</v>
      </c>
      <c r="AG460" s="38" t="s">
        <v>486</v>
      </c>
      <c r="AH460" s="29"/>
      <c r="AI460" s="118">
        <v>42171.7</v>
      </c>
      <c r="AJ460" s="30">
        <v>0</v>
      </c>
      <c r="AK460" s="179"/>
    </row>
    <row r="461" spans="1:109" s="43" customFormat="1" ht="173.25" x14ac:dyDescent="0.25">
      <c r="A461" s="6">
        <v>458</v>
      </c>
      <c r="B461" s="31">
        <v>151401</v>
      </c>
      <c r="C461" s="11">
        <v>981</v>
      </c>
      <c r="D461" s="11" t="s">
        <v>1638</v>
      </c>
      <c r="E461" s="24" t="s">
        <v>2255</v>
      </c>
      <c r="F461" s="11" t="s">
        <v>2270</v>
      </c>
      <c r="G461" s="27" t="s">
        <v>2269</v>
      </c>
      <c r="H461" s="8" t="s">
        <v>151</v>
      </c>
      <c r="I461" s="46" t="s">
        <v>2866</v>
      </c>
      <c r="J461" s="25">
        <v>44727</v>
      </c>
      <c r="K461" s="25">
        <v>45153</v>
      </c>
      <c r="L461" s="26">
        <f t="shared" si="228"/>
        <v>83.300001771908171</v>
      </c>
      <c r="M461" s="11">
        <v>1</v>
      </c>
      <c r="N461" s="11" t="s">
        <v>361</v>
      </c>
      <c r="O461" s="11" t="s">
        <v>361</v>
      </c>
      <c r="P461" s="11" t="s">
        <v>274</v>
      </c>
      <c r="Q461" s="11" t="s">
        <v>34</v>
      </c>
      <c r="R461" s="2">
        <f t="shared" si="229"/>
        <v>352586</v>
      </c>
      <c r="S461" s="2">
        <v>352586</v>
      </c>
      <c r="T461" s="2">
        <v>0</v>
      </c>
      <c r="U461" s="2">
        <f t="shared" si="230"/>
        <v>62221.05</v>
      </c>
      <c r="V461" s="28">
        <v>62221.05</v>
      </c>
      <c r="W461" s="28">
        <v>0</v>
      </c>
      <c r="X461" s="2">
        <f t="shared" si="231"/>
        <v>0</v>
      </c>
      <c r="Y461" s="2">
        <v>0</v>
      </c>
      <c r="Z461" s="2">
        <v>0</v>
      </c>
      <c r="AA461" s="2">
        <f t="shared" si="232"/>
        <v>8465.4500000000007</v>
      </c>
      <c r="AB461" s="2">
        <v>8465.4500000000007</v>
      </c>
      <c r="AC461" s="2">
        <v>0</v>
      </c>
      <c r="AD461" s="16">
        <f t="shared" si="227"/>
        <v>423272.5</v>
      </c>
      <c r="AE461" s="2">
        <v>0</v>
      </c>
      <c r="AF461" s="2">
        <f t="shared" si="233"/>
        <v>423272.5</v>
      </c>
      <c r="AG461" s="38" t="s">
        <v>486</v>
      </c>
      <c r="AH461" s="29"/>
      <c r="AI461" s="118">
        <v>42327.25</v>
      </c>
      <c r="AJ461" s="30">
        <v>0</v>
      </c>
      <c r="AK461" s="179"/>
    </row>
    <row r="462" spans="1:109" s="43" customFormat="1" ht="315" x14ac:dyDescent="0.25">
      <c r="A462" s="6">
        <v>459</v>
      </c>
      <c r="B462" s="31">
        <v>150983</v>
      </c>
      <c r="C462" s="11">
        <v>982</v>
      </c>
      <c r="D462" s="11" t="s">
        <v>1638</v>
      </c>
      <c r="E462" s="24" t="s">
        <v>2255</v>
      </c>
      <c r="F462" s="11" t="s">
        <v>2272</v>
      </c>
      <c r="G462" s="27" t="s">
        <v>2271</v>
      </c>
      <c r="H462" s="8" t="s">
        <v>151</v>
      </c>
      <c r="I462" s="46" t="s">
        <v>2274</v>
      </c>
      <c r="J462" s="25">
        <v>44726</v>
      </c>
      <c r="K462" s="25">
        <v>45152</v>
      </c>
      <c r="L462" s="26">
        <f t="shared" si="228"/>
        <v>83.300000244784727</v>
      </c>
      <c r="M462" s="11">
        <v>5</v>
      </c>
      <c r="N462" s="11" t="s">
        <v>592</v>
      </c>
      <c r="O462" s="11" t="s">
        <v>2273</v>
      </c>
      <c r="P462" s="11" t="s">
        <v>274</v>
      </c>
      <c r="Q462" s="11" t="s">
        <v>34</v>
      </c>
      <c r="R462" s="2">
        <f t="shared" si="229"/>
        <v>353910.98</v>
      </c>
      <c r="S462" s="2">
        <v>353910.98</v>
      </c>
      <c r="T462" s="2">
        <v>0</v>
      </c>
      <c r="U462" s="2">
        <f t="shared" si="230"/>
        <v>62454.879999999997</v>
      </c>
      <c r="V462" s="28">
        <v>62454.879999999997</v>
      </c>
      <c r="W462" s="28">
        <v>0</v>
      </c>
      <c r="X462" s="2">
        <f t="shared" si="231"/>
        <v>0</v>
      </c>
      <c r="Y462" s="2">
        <v>0</v>
      </c>
      <c r="Z462" s="2">
        <v>0</v>
      </c>
      <c r="AA462" s="2">
        <f t="shared" si="232"/>
        <v>8497.26</v>
      </c>
      <c r="AB462" s="2">
        <v>8497.26</v>
      </c>
      <c r="AC462" s="2">
        <v>0</v>
      </c>
      <c r="AD462" s="16">
        <f t="shared" si="227"/>
        <v>424863.12</v>
      </c>
      <c r="AE462" s="2">
        <v>0</v>
      </c>
      <c r="AF462" s="2">
        <f t="shared" si="233"/>
        <v>424863.12</v>
      </c>
      <c r="AG462" s="38" t="s">
        <v>486</v>
      </c>
      <c r="AH462" s="29"/>
      <c r="AI462" s="118">
        <v>42486.31</v>
      </c>
      <c r="AJ462" s="30">
        <v>0</v>
      </c>
      <c r="AK462" s="179"/>
    </row>
    <row r="463" spans="1:109" s="43" customFormat="1" ht="189" x14ac:dyDescent="0.25">
      <c r="A463" s="6">
        <v>460</v>
      </c>
      <c r="B463" s="31">
        <v>151540</v>
      </c>
      <c r="C463" s="11">
        <v>1008</v>
      </c>
      <c r="D463" s="11" t="s">
        <v>1638</v>
      </c>
      <c r="E463" s="24" t="s">
        <v>2255</v>
      </c>
      <c r="F463" s="11" t="s">
        <v>2276</v>
      </c>
      <c r="G463" s="27" t="s">
        <v>2275</v>
      </c>
      <c r="H463" s="8" t="s">
        <v>151</v>
      </c>
      <c r="I463" s="46" t="s">
        <v>2867</v>
      </c>
      <c r="J463" s="25">
        <v>44728</v>
      </c>
      <c r="K463" s="25">
        <v>45154</v>
      </c>
      <c r="L463" s="26">
        <f t="shared" si="228"/>
        <v>83.29999717088748</v>
      </c>
      <c r="M463" s="11">
        <v>7</v>
      </c>
      <c r="N463" s="11" t="s">
        <v>226</v>
      </c>
      <c r="O463" s="11" t="s">
        <v>226</v>
      </c>
      <c r="P463" s="11" t="s">
        <v>274</v>
      </c>
      <c r="Q463" s="11" t="s">
        <v>34</v>
      </c>
      <c r="R463" s="2">
        <f t="shared" si="229"/>
        <v>325354.67</v>
      </c>
      <c r="S463" s="2">
        <v>325354.67</v>
      </c>
      <c r="T463" s="2">
        <v>0</v>
      </c>
      <c r="U463" s="2">
        <f t="shared" si="230"/>
        <v>57415.54</v>
      </c>
      <c r="V463" s="28">
        <v>57415.54</v>
      </c>
      <c r="W463" s="28">
        <v>0</v>
      </c>
      <c r="X463" s="2">
        <f t="shared" si="231"/>
        <v>0</v>
      </c>
      <c r="Y463" s="2">
        <v>0</v>
      </c>
      <c r="Z463" s="2">
        <v>0</v>
      </c>
      <c r="AA463" s="2">
        <f t="shared" si="232"/>
        <v>7811.64</v>
      </c>
      <c r="AB463" s="2">
        <v>7811.64</v>
      </c>
      <c r="AC463" s="2">
        <v>0</v>
      </c>
      <c r="AD463" s="16">
        <f t="shared" si="227"/>
        <v>390581.85</v>
      </c>
      <c r="AE463" s="2">
        <v>0</v>
      </c>
      <c r="AF463" s="2">
        <f t="shared" si="233"/>
        <v>390581.85</v>
      </c>
      <c r="AG463" s="38" t="s">
        <v>486</v>
      </c>
      <c r="AH463" s="29"/>
      <c r="AI463" s="118">
        <v>0</v>
      </c>
      <c r="AJ463" s="30">
        <v>0</v>
      </c>
      <c r="AK463" s="179"/>
    </row>
    <row r="464" spans="1:109" s="43" customFormat="1" ht="157.5" x14ac:dyDescent="0.25">
      <c r="A464" s="6">
        <v>461</v>
      </c>
      <c r="B464" s="31">
        <v>151560</v>
      </c>
      <c r="C464" s="11">
        <v>1013</v>
      </c>
      <c r="D464" s="11" t="s">
        <v>1638</v>
      </c>
      <c r="E464" s="24" t="s">
        <v>2255</v>
      </c>
      <c r="F464" s="11" t="s">
        <v>2278</v>
      </c>
      <c r="G464" s="27" t="s">
        <v>2277</v>
      </c>
      <c r="H464" s="8" t="s">
        <v>151</v>
      </c>
      <c r="I464" s="46" t="s">
        <v>2868</v>
      </c>
      <c r="J464" s="25">
        <v>44727</v>
      </c>
      <c r="K464" s="25">
        <v>45092</v>
      </c>
      <c r="L464" s="26">
        <f t="shared" si="228"/>
        <v>83.3</v>
      </c>
      <c r="M464" s="11">
        <v>7</v>
      </c>
      <c r="N464" s="11" t="s">
        <v>994</v>
      </c>
      <c r="O464" s="11" t="s">
        <v>995</v>
      </c>
      <c r="P464" s="11" t="s">
        <v>274</v>
      </c>
      <c r="Q464" s="11" t="s">
        <v>34</v>
      </c>
      <c r="R464" s="2">
        <f t="shared" si="229"/>
        <v>353325.28</v>
      </c>
      <c r="S464" s="2">
        <v>353325.28</v>
      </c>
      <c r="T464" s="2">
        <v>0</v>
      </c>
      <c r="U464" s="2">
        <f t="shared" si="230"/>
        <v>62351.519999999997</v>
      </c>
      <c r="V464" s="28">
        <v>62351.519999999997</v>
      </c>
      <c r="W464" s="28">
        <v>0</v>
      </c>
      <c r="X464" s="2">
        <f t="shared" si="231"/>
        <v>0</v>
      </c>
      <c r="Y464" s="2">
        <v>0</v>
      </c>
      <c r="Z464" s="2">
        <v>0</v>
      </c>
      <c r="AA464" s="2">
        <f t="shared" si="232"/>
        <v>8483.2000000000007</v>
      </c>
      <c r="AB464" s="2">
        <v>8483.2000000000007</v>
      </c>
      <c r="AC464" s="2">
        <v>0</v>
      </c>
      <c r="AD464" s="16">
        <f t="shared" si="227"/>
        <v>424160.00000000006</v>
      </c>
      <c r="AE464" s="2">
        <v>0</v>
      </c>
      <c r="AF464" s="2">
        <f t="shared" si="233"/>
        <v>424160.00000000006</v>
      </c>
      <c r="AG464" s="38" t="s">
        <v>486</v>
      </c>
      <c r="AH464" s="29"/>
      <c r="AI464" s="118">
        <v>41500</v>
      </c>
      <c r="AJ464" s="30">
        <v>0</v>
      </c>
      <c r="AK464" s="179"/>
    </row>
    <row r="465" spans="1:37" s="43" customFormat="1" ht="157.5" x14ac:dyDescent="0.25">
      <c r="A465" s="6">
        <v>462</v>
      </c>
      <c r="B465" s="31">
        <v>151433</v>
      </c>
      <c r="C465" s="11">
        <v>1015</v>
      </c>
      <c r="D465" s="11" t="s">
        <v>1638</v>
      </c>
      <c r="E465" s="24" t="s">
        <v>2255</v>
      </c>
      <c r="F465" s="31" t="s">
        <v>2281</v>
      </c>
      <c r="G465" s="27" t="s">
        <v>2280</v>
      </c>
      <c r="H465" s="8" t="s">
        <v>151</v>
      </c>
      <c r="I465" s="46" t="s">
        <v>2869</v>
      </c>
      <c r="J465" s="25">
        <v>44729</v>
      </c>
      <c r="K465" s="25">
        <v>45094</v>
      </c>
      <c r="L465" s="26">
        <f t="shared" si="228"/>
        <v>83.29999952830633</v>
      </c>
      <c r="M465" s="11">
        <v>1</v>
      </c>
      <c r="N465" s="11" t="s">
        <v>407</v>
      </c>
      <c r="O465" s="11" t="s">
        <v>1916</v>
      </c>
      <c r="P465" s="11" t="s">
        <v>274</v>
      </c>
      <c r="Q465" s="11" t="s">
        <v>34</v>
      </c>
      <c r="R465" s="2">
        <f t="shared" si="229"/>
        <v>353195.33</v>
      </c>
      <c r="S465" s="2">
        <v>353195.33</v>
      </c>
      <c r="T465" s="2">
        <v>0</v>
      </c>
      <c r="U465" s="2">
        <f t="shared" si="230"/>
        <v>62328.59</v>
      </c>
      <c r="V465" s="28">
        <v>62328.59</v>
      </c>
      <c r="W465" s="28">
        <v>0</v>
      </c>
      <c r="X465" s="2">
        <f t="shared" si="231"/>
        <v>0</v>
      </c>
      <c r="Y465" s="2">
        <v>0</v>
      </c>
      <c r="Z465" s="2">
        <v>0</v>
      </c>
      <c r="AA465" s="2">
        <f t="shared" si="232"/>
        <v>8480.08</v>
      </c>
      <c r="AB465" s="2">
        <v>8480.08</v>
      </c>
      <c r="AC465" s="2">
        <v>0</v>
      </c>
      <c r="AD465" s="16">
        <f t="shared" si="227"/>
        <v>424004.00000000006</v>
      </c>
      <c r="AE465" s="2">
        <v>0</v>
      </c>
      <c r="AF465" s="2">
        <f t="shared" si="233"/>
        <v>424004.00000000006</v>
      </c>
      <c r="AG465" s="38" t="s">
        <v>486</v>
      </c>
      <c r="AH465" s="29"/>
      <c r="AI465" s="118">
        <f>42000+24739.83</f>
        <v>66739.83</v>
      </c>
      <c r="AJ465" s="30">
        <f>4295.19</f>
        <v>4295.1899999999996</v>
      </c>
      <c r="AK465" s="179"/>
    </row>
    <row r="466" spans="1:37" s="43" customFormat="1" ht="189" x14ac:dyDescent="0.25">
      <c r="A466" s="6">
        <v>463</v>
      </c>
      <c r="B466" s="31">
        <v>151245</v>
      </c>
      <c r="C466" s="11">
        <v>886</v>
      </c>
      <c r="D466" s="11" t="s">
        <v>1638</v>
      </c>
      <c r="E466" s="24" t="s">
        <v>2255</v>
      </c>
      <c r="F466" s="31" t="s">
        <v>2284</v>
      </c>
      <c r="G466" s="27" t="s">
        <v>2283</v>
      </c>
      <c r="H466" s="8" t="s">
        <v>151</v>
      </c>
      <c r="I466" s="46" t="s">
        <v>2870</v>
      </c>
      <c r="J466" s="25">
        <v>44735</v>
      </c>
      <c r="K466" s="25">
        <v>45161</v>
      </c>
      <c r="L466" s="26">
        <f t="shared" si="228"/>
        <v>83.3</v>
      </c>
      <c r="M466" s="11">
        <v>7</v>
      </c>
      <c r="N466" s="11" t="s">
        <v>2285</v>
      </c>
      <c r="O466" s="11" t="s">
        <v>2286</v>
      </c>
      <c r="P466" s="11" t="s">
        <v>274</v>
      </c>
      <c r="Q466" s="11" t="s">
        <v>34</v>
      </c>
      <c r="R466" s="2">
        <f t="shared" si="229"/>
        <v>353608.5</v>
      </c>
      <c r="S466" s="2">
        <v>353608.5</v>
      </c>
      <c r="T466" s="2">
        <v>0</v>
      </c>
      <c r="U466" s="2">
        <f t="shared" si="230"/>
        <v>62401.5</v>
      </c>
      <c r="V466" s="28">
        <v>62401.5</v>
      </c>
      <c r="W466" s="28">
        <v>0</v>
      </c>
      <c r="X466" s="2">
        <f t="shared" si="231"/>
        <v>0</v>
      </c>
      <c r="Y466" s="2">
        <v>0</v>
      </c>
      <c r="Z466" s="2">
        <v>0</v>
      </c>
      <c r="AA466" s="2">
        <f t="shared" si="232"/>
        <v>8490</v>
      </c>
      <c r="AB466" s="2">
        <v>8490</v>
      </c>
      <c r="AC466" s="2">
        <v>0</v>
      </c>
      <c r="AD466" s="16">
        <f t="shared" si="227"/>
        <v>424500</v>
      </c>
      <c r="AE466" s="2">
        <v>0</v>
      </c>
      <c r="AF466" s="2">
        <f t="shared" si="233"/>
        <v>424500</v>
      </c>
      <c r="AG466" s="38" t="s">
        <v>486</v>
      </c>
      <c r="AH466" s="29"/>
      <c r="AI466" s="118">
        <v>42450</v>
      </c>
      <c r="AJ466" s="30">
        <v>0</v>
      </c>
      <c r="AK466" s="179"/>
    </row>
    <row r="467" spans="1:37" s="43" customFormat="1" ht="315" x14ac:dyDescent="0.25">
      <c r="A467" s="6">
        <v>464</v>
      </c>
      <c r="B467" s="31">
        <v>151536</v>
      </c>
      <c r="C467" s="11">
        <v>1005</v>
      </c>
      <c r="D467" s="11" t="s">
        <v>1638</v>
      </c>
      <c r="E467" s="24" t="s">
        <v>2255</v>
      </c>
      <c r="F467" s="31" t="s">
        <v>2288</v>
      </c>
      <c r="G467" s="27" t="s">
        <v>2287</v>
      </c>
      <c r="H467" s="8" t="s">
        <v>151</v>
      </c>
      <c r="I467" s="46" t="s">
        <v>2871</v>
      </c>
      <c r="J467" s="25">
        <v>44732</v>
      </c>
      <c r="K467" s="25">
        <v>45158</v>
      </c>
      <c r="L467" s="26">
        <f t="shared" si="228"/>
        <v>83.299982409036502</v>
      </c>
      <c r="M467" s="11">
        <v>4</v>
      </c>
      <c r="N467" s="11" t="s">
        <v>499</v>
      </c>
      <c r="O467" s="11" t="s">
        <v>2289</v>
      </c>
      <c r="P467" s="11" t="s">
        <v>274</v>
      </c>
      <c r="Q467" s="11" t="s">
        <v>34</v>
      </c>
      <c r="R467" s="2">
        <f t="shared" si="229"/>
        <v>287295.8</v>
      </c>
      <c r="S467" s="2">
        <v>287295.8</v>
      </c>
      <c r="T467" s="2">
        <v>0</v>
      </c>
      <c r="U467" s="2">
        <f t="shared" si="230"/>
        <v>50699.27</v>
      </c>
      <c r="V467" s="28">
        <v>50699.27</v>
      </c>
      <c r="W467" s="28">
        <v>0</v>
      </c>
      <c r="X467" s="2">
        <f t="shared" si="231"/>
        <v>0</v>
      </c>
      <c r="Y467" s="2">
        <v>0</v>
      </c>
      <c r="Z467" s="2">
        <v>0</v>
      </c>
      <c r="AA467" s="2">
        <f t="shared" si="232"/>
        <v>6897.92</v>
      </c>
      <c r="AB467" s="2">
        <v>6897.92</v>
      </c>
      <c r="AC467" s="2">
        <v>0</v>
      </c>
      <c r="AD467" s="16">
        <f t="shared" si="227"/>
        <v>344892.99</v>
      </c>
      <c r="AE467" s="2">
        <v>0</v>
      </c>
      <c r="AF467" s="2">
        <f t="shared" si="233"/>
        <v>344892.99</v>
      </c>
      <c r="AG467" s="38" t="s">
        <v>486</v>
      </c>
      <c r="AH467" s="29"/>
      <c r="AI467" s="118">
        <v>34489.29</v>
      </c>
      <c r="AJ467" s="30">
        <v>0</v>
      </c>
      <c r="AK467" s="179"/>
    </row>
    <row r="468" spans="1:37" s="43" customFormat="1" ht="346.5" x14ac:dyDescent="0.25">
      <c r="A468" s="6">
        <v>465</v>
      </c>
      <c r="B468" s="31">
        <v>151539</v>
      </c>
      <c r="C468" s="11">
        <v>1007</v>
      </c>
      <c r="D468" s="11" t="s">
        <v>1638</v>
      </c>
      <c r="E468" s="24" t="s">
        <v>2255</v>
      </c>
      <c r="F468" s="31" t="s">
        <v>2291</v>
      </c>
      <c r="G468" s="27" t="s">
        <v>2290</v>
      </c>
      <c r="H468" s="8" t="s">
        <v>151</v>
      </c>
      <c r="I468" s="46" t="s">
        <v>2872</v>
      </c>
      <c r="J468" s="25">
        <v>44732</v>
      </c>
      <c r="K468" s="25">
        <v>45158</v>
      </c>
      <c r="L468" s="26">
        <f t="shared" si="228"/>
        <v>83.300000992427783</v>
      </c>
      <c r="M468" s="11">
        <v>5</v>
      </c>
      <c r="N468" s="11" t="s">
        <v>230</v>
      </c>
      <c r="O468" s="11" t="s">
        <v>230</v>
      </c>
      <c r="P468" s="11" t="s">
        <v>274</v>
      </c>
      <c r="Q468" s="11" t="s">
        <v>34</v>
      </c>
      <c r="R468" s="2">
        <f t="shared" si="229"/>
        <v>335742.32</v>
      </c>
      <c r="S468" s="2">
        <v>335742.32</v>
      </c>
      <c r="T468" s="2">
        <v>0</v>
      </c>
      <c r="U468" s="2">
        <f t="shared" si="230"/>
        <v>59248.639999999999</v>
      </c>
      <c r="V468" s="28">
        <v>59248.639999999999</v>
      </c>
      <c r="W468" s="28">
        <v>0</v>
      </c>
      <c r="X468" s="2">
        <f t="shared" si="231"/>
        <v>0</v>
      </c>
      <c r="Y468" s="2">
        <v>0</v>
      </c>
      <c r="Z468" s="2">
        <v>0</v>
      </c>
      <c r="AA468" s="2">
        <f t="shared" si="232"/>
        <v>8061.04</v>
      </c>
      <c r="AB468" s="2">
        <v>8061.04</v>
      </c>
      <c r="AC468" s="2">
        <v>0</v>
      </c>
      <c r="AD468" s="16">
        <f t="shared" si="227"/>
        <v>403052</v>
      </c>
      <c r="AE468" s="2">
        <v>0</v>
      </c>
      <c r="AF468" s="2">
        <f t="shared" si="233"/>
        <v>403052</v>
      </c>
      <c r="AG468" s="38" t="s">
        <v>486</v>
      </c>
      <c r="AH468" s="29"/>
      <c r="AI468" s="118">
        <v>40000</v>
      </c>
      <c r="AJ468" s="30">
        <v>0</v>
      </c>
      <c r="AK468" s="179"/>
    </row>
    <row r="469" spans="1:37" s="43" customFormat="1" ht="141.75" x14ac:dyDescent="0.25">
      <c r="A469" s="6">
        <v>466</v>
      </c>
      <c r="B469" s="31">
        <v>151462</v>
      </c>
      <c r="C469" s="11">
        <v>1018</v>
      </c>
      <c r="D469" s="11" t="s">
        <v>1638</v>
      </c>
      <c r="E469" s="24" t="s">
        <v>2255</v>
      </c>
      <c r="F469" s="31" t="s">
        <v>2293</v>
      </c>
      <c r="G469" s="27" t="s">
        <v>2292</v>
      </c>
      <c r="H469" s="8" t="s">
        <v>151</v>
      </c>
      <c r="I469" s="46" t="s">
        <v>2873</v>
      </c>
      <c r="J469" s="25">
        <v>44733</v>
      </c>
      <c r="K469" s="25">
        <v>45098</v>
      </c>
      <c r="L469" s="26">
        <f t="shared" si="228"/>
        <v>83.300001174338774</v>
      </c>
      <c r="M469" s="11">
        <v>3</v>
      </c>
      <c r="N469" s="11" t="s">
        <v>254</v>
      </c>
      <c r="O469" s="11" t="s">
        <v>2294</v>
      </c>
      <c r="P469" s="11" t="s">
        <v>274</v>
      </c>
      <c r="Q469" s="11" t="s">
        <v>34</v>
      </c>
      <c r="R469" s="2">
        <f t="shared" si="229"/>
        <v>353958.34</v>
      </c>
      <c r="S469" s="2">
        <v>353958.34</v>
      </c>
      <c r="T469" s="2">
        <v>0</v>
      </c>
      <c r="U469" s="2">
        <f t="shared" si="230"/>
        <v>62463.24</v>
      </c>
      <c r="V469" s="28">
        <v>62463.24</v>
      </c>
      <c r="W469" s="28">
        <v>0</v>
      </c>
      <c r="X469" s="2">
        <f t="shared" si="231"/>
        <v>0</v>
      </c>
      <c r="Y469" s="2">
        <v>0</v>
      </c>
      <c r="Z469" s="2">
        <v>0</v>
      </c>
      <c r="AA469" s="2">
        <f t="shared" si="232"/>
        <v>8498.39</v>
      </c>
      <c r="AB469" s="2">
        <v>8498.39</v>
      </c>
      <c r="AC469" s="2">
        <v>0</v>
      </c>
      <c r="AD469" s="16">
        <f t="shared" si="227"/>
        <v>424919.97000000003</v>
      </c>
      <c r="AE469" s="2">
        <v>0</v>
      </c>
      <c r="AF469" s="2">
        <f t="shared" si="233"/>
        <v>424919.97000000003</v>
      </c>
      <c r="AG469" s="38" t="s">
        <v>486</v>
      </c>
      <c r="AH469" s="29"/>
      <c r="AI469" s="118">
        <v>42491</v>
      </c>
      <c r="AJ469" s="30">
        <v>0</v>
      </c>
      <c r="AK469" s="179"/>
    </row>
    <row r="470" spans="1:37" s="43" customFormat="1" ht="283.5" x14ac:dyDescent="0.25">
      <c r="A470" s="6">
        <v>467</v>
      </c>
      <c r="B470" s="31">
        <v>150843</v>
      </c>
      <c r="C470" s="11">
        <v>885</v>
      </c>
      <c r="D470" s="11" t="s">
        <v>1638</v>
      </c>
      <c r="E470" s="24" t="s">
        <v>2255</v>
      </c>
      <c r="F470" s="31" t="s">
        <v>2306</v>
      </c>
      <c r="G470" s="27" t="s">
        <v>2305</v>
      </c>
      <c r="H470" s="8" t="s">
        <v>151</v>
      </c>
      <c r="I470" s="46" t="s">
        <v>2307</v>
      </c>
      <c r="J470" s="25">
        <v>44740</v>
      </c>
      <c r="K470" s="25">
        <v>45166</v>
      </c>
      <c r="L470" s="26">
        <f t="shared" si="228"/>
        <v>83.300001426156797</v>
      </c>
      <c r="M470" s="11">
        <v>6</v>
      </c>
      <c r="N470" s="11" t="s">
        <v>298</v>
      </c>
      <c r="O470" s="11" t="s">
        <v>298</v>
      </c>
      <c r="P470" s="11" t="s">
        <v>274</v>
      </c>
      <c r="Q470" s="11" t="s">
        <v>34</v>
      </c>
      <c r="R470" s="2">
        <f t="shared" si="229"/>
        <v>338770.61</v>
      </c>
      <c r="S470" s="2">
        <v>338770.61</v>
      </c>
      <c r="T470" s="2">
        <v>0</v>
      </c>
      <c r="U470" s="2">
        <f>V470+W470</f>
        <v>59783.040000000001</v>
      </c>
      <c r="V470" s="28">
        <v>59783.040000000001</v>
      </c>
      <c r="W470" s="28">
        <v>0</v>
      </c>
      <c r="X470" s="2">
        <f t="shared" si="231"/>
        <v>0</v>
      </c>
      <c r="Y470" s="2">
        <v>0</v>
      </c>
      <c r="Z470" s="2">
        <v>0</v>
      </c>
      <c r="AA470" s="2">
        <f t="shared" si="232"/>
        <v>8133.75</v>
      </c>
      <c r="AB470" s="2">
        <v>8133.75</v>
      </c>
      <c r="AC470" s="2">
        <v>0</v>
      </c>
      <c r="AD470" s="16">
        <f t="shared" si="227"/>
        <v>406687.39999999997</v>
      </c>
      <c r="AE470" s="2">
        <v>0</v>
      </c>
      <c r="AF470" s="2">
        <f t="shared" si="233"/>
        <v>406687.39999999997</v>
      </c>
      <c r="AG470" s="38" t="s">
        <v>486</v>
      </c>
      <c r="AH470" s="29"/>
      <c r="AI470" s="118">
        <v>40668</v>
      </c>
      <c r="AJ470" s="30">
        <v>0</v>
      </c>
      <c r="AK470" s="179"/>
    </row>
    <row r="471" spans="1:37" s="43" customFormat="1" ht="204.75" x14ac:dyDescent="0.25">
      <c r="A471" s="6">
        <v>468</v>
      </c>
      <c r="B471" s="31">
        <v>150664</v>
      </c>
      <c r="C471" s="11">
        <v>888</v>
      </c>
      <c r="D471" s="11" t="s">
        <v>1638</v>
      </c>
      <c r="E471" s="24" t="s">
        <v>2255</v>
      </c>
      <c r="F471" s="31" t="s">
        <v>2308</v>
      </c>
      <c r="G471" s="27" t="s">
        <v>2343</v>
      </c>
      <c r="H471" s="8" t="s">
        <v>151</v>
      </c>
      <c r="I471" s="46" t="s">
        <v>2311</v>
      </c>
      <c r="J471" s="25">
        <v>44742</v>
      </c>
      <c r="K471" s="25">
        <v>45107</v>
      </c>
      <c r="L471" s="26">
        <f t="shared" si="228"/>
        <v>83.300004936700049</v>
      </c>
      <c r="M471" s="11">
        <v>2</v>
      </c>
      <c r="N471" s="11" t="s">
        <v>2309</v>
      </c>
      <c r="O471" s="11" t="s">
        <v>2310</v>
      </c>
      <c r="P471" s="11" t="s">
        <v>274</v>
      </c>
      <c r="Q471" s="11" t="s">
        <v>34</v>
      </c>
      <c r="R471" s="2">
        <f t="shared" si="229"/>
        <v>318236.49</v>
      </c>
      <c r="S471" s="2">
        <v>318236.49</v>
      </c>
      <c r="T471" s="2">
        <v>0</v>
      </c>
      <c r="U471" s="2">
        <f t="shared" si="230"/>
        <v>56159.360000000001</v>
      </c>
      <c r="V471" s="28">
        <v>56159.360000000001</v>
      </c>
      <c r="W471" s="28">
        <v>0</v>
      </c>
      <c r="X471" s="2">
        <f t="shared" si="231"/>
        <v>0</v>
      </c>
      <c r="Y471" s="2">
        <v>0</v>
      </c>
      <c r="Z471" s="2">
        <v>0</v>
      </c>
      <c r="AA471" s="2">
        <f t="shared" si="232"/>
        <v>7640.73</v>
      </c>
      <c r="AB471" s="2">
        <v>7640.73</v>
      </c>
      <c r="AC471" s="2">
        <v>0</v>
      </c>
      <c r="AD471" s="16">
        <f t="shared" si="227"/>
        <v>382036.57999999996</v>
      </c>
      <c r="AE471" s="2">
        <v>0</v>
      </c>
      <c r="AF471" s="2">
        <f t="shared" si="233"/>
        <v>382036.57999999996</v>
      </c>
      <c r="AG471" s="38" t="s">
        <v>486</v>
      </c>
      <c r="AH471" s="29"/>
      <c r="AI471" s="118">
        <v>38203</v>
      </c>
      <c r="AJ471" s="30">
        <v>0</v>
      </c>
      <c r="AK471" s="179"/>
    </row>
    <row r="472" spans="1:37" s="43" customFormat="1" ht="141.75" x14ac:dyDescent="0.25">
      <c r="A472" s="6">
        <v>469</v>
      </c>
      <c r="B472" s="31">
        <v>150972</v>
      </c>
      <c r="C472" s="11">
        <v>956</v>
      </c>
      <c r="D472" s="11" t="s">
        <v>1638</v>
      </c>
      <c r="E472" s="24" t="s">
        <v>2255</v>
      </c>
      <c r="F472" s="31" t="s">
        <v>2313</v>
      </c>
      <c r="G472" s="27" t="s">
        <v>2312</v>
      </c>
      <c r="H472" s="8" t="s">
        <v>151</v>
      </c>
      <c r="I472" s="46" t="s">
        <v>2314</v>
      </c>
      <c r="J472" s="25">
        <v>44742</v>
      </c>
      <c r="K472" s="25">
        <v>45168</v>
      </c>
      <c r="L472" s="26">
        <f t="shared" si="228"/>
        <v>83.299998352743515</v>
      </c>
      <c r="M472" s="11">
        <v>3</v>
      </c>
      <c r="N472" s="11" t="s">
        <v>330</v>
      </c>
      <c r="O472" s="11" t="s">
        <v>330</v>
      </c>
      <c r="P472" s="11" t="s">
        <v>274</v>
      </c>
      <c r="Q472" s="11" t="s">
        <v>34</v>
      </c>
      <c r="R472" s="2">
        <f t="shared" si="229"/>
        <v>353982.51</v>
      </c>
      <c r="S472" s="2">
        <v>353982.51</v>
      </c>
      <c r="T472" s="2">
        <v>0</v>
      </c>
      <c r="U472" s="2">
        <f t="shared" si="230"/>
        <v>62467.51</v>
      </c>
      <c r="V472" s="28">
        <v>62467.51</v>
      </c>
      <c r="W472" s="28">
        <v>0</v>
      </c>
      <c r="X472" s="2">
        <f t="shared" si="231"/>
        <v>0</v>
      </c>
      <c r="Y472" s="2">
        <v>0</v>
      </c>
      <c r="Z472" s="2">
        <v>0</v>
      </c>
      <c r="AA472" s="2">
        <f t="shared" si="232"/>
        <v>8498.98</v>
      </c>
      <c r="AB472" s="2">
        <v>8498.98</v>
      </c>
      <c r="AC472" s="2">
        <v>0</v>
      </c>
      <c r="AD472" s="16">
        <f t="shared" si="227"/>
        <v>424949</v>
      </c>
      <c r="AE472" s="2">
        <v>0</v>
      </c>
      <c r="AF472" s="2">
        <f t="shared" si="233"/>
        <v>424949</v>
      </c>
      <c r="AG472" s="38" t="s">
        <v>486</v>
      </c>
      <c r="AH472" s="29"/>
      <c r="AI472" s="118">
        <v>42494</v>
      </c>
      <c r="AJ472" s="30">
        <v>0</v>
      </c>
      <c r="AK472" s="179"/>
    </row>
    <row r="473" spans="1:37" s="43" customFormat="1" ht="157.5" x14ac:dyDescent="0.25">
      <c r="A473" s="6">
        <v>470</v>
      </c>
      <c r="B473" s="31">
        <v>151254</v>
      </c>
      <c r="C473" s="11">
        <v>968</v>
      </c>
      <c r="D473" s="11" t="s">
        <v>1638</v>
      </c>
      <c r="E473" s="24" t="s">
        <v>2255</v>
      </c>
      <c r="F473" s="31" t="s">
        <v>2316</v>
      </c>
      <c r="G473" s="27" t="s">
        <v>2315</v>
      </c>
      <c r="H473" s="11" t="s">
        <v>2317</v>
      </c>
      <c r="I473" s="46" t="s">
        <v>2318</v>
      </c>
      <c r="J473" s="25">
        <v>44742</v>
      </c>
      <c r="K473" s="25">
        <v>45107</v>
      </c>
      <c r="L473" s="26">
        <f t="shared" si="228"/>
        <v>83.3</v>
      </c>
      <c r="M473" s="11">
        <v>7</v>
      </c>
      <c r="N473" s="11" t="s">
        <v>226</v>
      </c>
      <c r="O473" s="11" t="s">
        <v>226</v>
      </c>
      <c r="P473" s="11" t="s">
        <v>274</v>
      </c>
      <c r="Q473" s="11" t="s">
        <v>34</v>
      </c>
      <c r="R473" s="2">
        <f t="shared" si="229"/>
        <v>329593.11</v>
      </c>
      <c r="S473" s="2">
        <v>329593.11</v>
      </c>
      <c r="T473" s="2">
        <v>0</v>
      </c>
      <c r="U473" s="2">
        <f t="shared" si="230"/>
        <v>58163.49</v>
      </c>
      <c r="V473" s="28">
        <v>58163.49</v>
      </c>
      <c r="W473" s="28">
        <v>0</v>
      </c>
      <c r="X473" s="2">
        <f t="shared" si="231"/>
        <v>0</v>
      </c>
      <c r="Y473" s="2">
        <v>0</v>
      </c>
      <c r="Z473" s="2">
        <v>0</v>
      </c>
      <c r="AA473" s="2">
        <f t="shared" si="232"/>
        <v>7913.4</v>
      </c>
      <c r="AB473" s="2">
        <v>7913.4</v>
      </c>
      <c r="AC473" s="2">
        <v>0</v>
      </c>
      <c r="AD473" s="16">
        <f t="shared" si="227"/>
        <v>395670</v>
      </c>
      <c r="AE473" s="2">
        <v>0</v>
      </c>
      <c r="AF473" s="2">
        <f t="shared" si="233"/>
        <v>395670</v>
      </c>
      <c r="AG473" s="38" t="s">
        <v>486</v>
      </c>
      <c r="AH473" s="29"/>
      <c r="AI473" s="118">
        <v>38775.660000000003</v>
      </c>
      <c r="AJ473" s="30">
        <v>0</v>
      </c>
      <c r="AK473" s="179"/>
    </row>
    <row r="474" spans="1:37" s="43" customFormat="1" ht="236.25" x14ac:dyDescent="0.25">
      <c r="A474" s="6">
        <v>471</v>
      </c>
      <c r="B474" s="31">
        <v>151285</v>
      </c>
      <c r="C474" s="11">
        <v>972</v>
      </c>
      <c r="D474" s="11" t="s">
        <v>1638</v>
      </c>
      <c r="E474" s="24" t="s">
        <v>2255</v>
      </c>
      <c r="F474" s="31" t="s">
        <v>2320</v>
      </c>
      <c r="G474" s="27" t="s">
        <v>2319</v>
      </c>
      <c r="H474" s="11" t="s">
        <v>2321</v>
      </c>
      <c r="I474" s="46" t="s">
        <v>2874</v>
      </c>
      <c r="J474" s="25">
        <v>44739</v>
      </c>
      <c r="K474" s="25">
        <v>45165</v>
      </c>
      <c r="L474" s="26">
        <f t="shared" si="228"/>
        <v>83.299999921476058</v>
      </c>
      <c r="M474" s="11" t="s">
        <v>2322</v>
      </c>
      <c r="N474" s="11" t="s">
        <v>2323</v>
      </c>
      <c r="O474" s="11" t="s">
        <v>2323</v>
      </c>
      <c r="P474" s="11" t="s">
        <v>274</v>
      </c>
      <c r="Q474" s="11" t="s">
        <v>34</v>
      </c>
      <c r="R474" s="2">
        <f t="shared" si="229"/>
        <v>350071.59</v>
      </c>
      <c r="S474" s="2">
        <v>350071.59</v>
      </c>
      <c r="T474" s="2">
        <v>0</v>
      </c>
      <c r="U474" s="2">
        <f t="shared" si="230"/>
        <v>61777.34</v>
      </c>
      <c r="V474" s="28">
        <v>61777.34</v>
      </c>
      <c r="W474" s="28">
        <v>0</v>
      </c>
      <c r="X474" s="2">
        <f t="shared" si="231"/>
        <v>0</v>
      </c>
      <c r="Y474" s="2">
        <v>0</v>
      </c>
      <c r="Z474" s="2">
        <v>0</v>
      </c>
      <c r="AA474" s="2">
        <f t="shared" si="232"/>
        <v>8405.08</v>
      </c>
      <c r="AB474" s="2">
        <v>8405.08</v>
      </c>
      <c r="AC474" s="2">
        <v>0</v>
      </c>
      <c r="AD474" s="16">
        <f t="shared" si="227"/>
        <v>420254.01000000007</v>
      </c>
      <c r="AE474" s="2">
        <v>0</v>
      </c>
      <c r="AF474" s="2">
        <f t="shared" si="233"/>
        <v>420254.01000000007</v>
      </c>
      <c r="AG474" s="38" t="s">
        <v>486</v>
      </c>
      <c r="AH474" s="29"/>
      <c r="AI474" s="118">
        <v>42025</v>
      </c>
      <c r="AJ474" s="30">
        <v>0</v>
      </c>
      <c r="AK474" s="179"/>
    </row>
    <row r="475" spans="1:37" s="43" customFormat="1" ht="330.75" x14ac:dyDescent="0.25">
      <c r="A475" s="6">
        <v>472</v>
      </c>
      <c r="B475" s="31">
        <v>151142</v>
      </c>
      <c r="C475" s="11">
        <v>990</v>
      </c>
      <c r="D475" s="11" t="s">
        <v>1638</v>
      </c>
      <c r="E475" s="24" t="s">
        <v>2255</v>
      </c>
      <c r="F475" s="31" t="s">
        <v>2325</v>
      </c>
      <c r="G475" s="27" t="s">
        <v>2324</v>
      </c>
      <c r="H475" s="8" t="s">
        <v>151</v>
      </c>
      <c r="I475" s="46" t="s">
        <v>2875</v>
      </c>
      <c r="J475" s="25">
        <v>44740</v>
      </c>
      <c r="K475" s="25">
        <v>45166</v>
      </c>
      <c r="L475" s="26">
        <f t="shared" si="228"/>
        <v>83.29998623922404</v>
      </c>
      <c r="M475" s="11">
        <v>4</v>
      </c>
      <c r="N475" s="11" t="s">
        <v>499</v>
      </c>
      <c r="O475" s="11" t="s">
        <v>2326</v>
      </c>
      <c r="P475" s="11" t="s">
        <v>274</v>
      </c>
      <c r="Q475" s="11" t="s">
        <v>34</v>
      </c>
      <c r="R475" s="2">
        <f t="shared" si="229"/>
        <v>302187.56</v>
      </c>
      <c r="S475" s="2">
        <v>302187.56</v>
      </c>
      <c r="T475" s="2">
        <v>0</v>
      </c>
      <c r="U475" s="2">
        <f t="shared" si="230"/>
        <v>53327.24</v>
      </c>
      <c r="V475" s="28">
        <v>53327.24</v>
      </c>
      <c r="W475" s="28">
        <v>0</v>
      </c>
      <c r="X475" s="2">
        <f t="shared" si="231"/>
        <v>0</v>
      </c>
      <c r="Y475" s="2">
        <v>0</v>
      </c>
      <c r="Z475" s="2">
        <v>0</v>
      </c>
      <c r="AA475" s="2">
        <f t="shared" si="232"/>
        <v>7255.44</v>
      </c>
      <c r="AB475" s="2">
        <v>7255.44</v>
      </c>
      <c r="AC475" s="2">
        <v>0</v>
      </c>
      <c r="AD475" s="16">
        <f t="shared" si="227"/>
        <v>362770.24</v>
      </c>
      <c r="AE475" s="2">
        <v>0</v>
      </c>
      <c r="AF475" s="2">
        <f t="shared" si="233"/>
        <v>362770.24</v>
      </c>
      <c r="AG475" s="38" t="s">
        <v>486</v>
      </c>
      <c r="AH475" s="29"/>
      <c r="AI475" s="118">
        <v>32600</v>
      </c>
      <c r="AJ475" s="30">
        <v>0</v>
      </c>
      <c r="AK475" s="179"/>
    </row>
    <row r="476" spans="1:37" s="43" customFormat="1" ht="173.25" x14ac:dyDescent="0.25">
      <c r="A476" s="6">
        <v>473</v>
      </c>
      <c r="B476" s="31">
        <v>151537</v>
      </c>
      <c r="C476" s="11">
        <v>1006</v>
      </c>
      <c r="D476" s="11" t="s">
        <v>1638</v>
      </c>
      <c r="E476" s="24" t="s">
        <v>2255</v>
      </c>
      <c r="F476" s="31" t="s">
        <v>2328</v>
      </c>
      <c r="G476" s="27" t="s">
        <v>2327</v>
      </c>
      <c r="H476" s="8" t="s">
        <v>151</v>
      </c>
      <c r="I476" s="46" t="s">
        <v>2329</v>
      </c>
      <c r="J476" s="25">
        <v>44739</v>
      </c>
      <c r="K476" s="25">
        <v>45104</v>
      </c>
      <c r="L476" s="26">
        <f t="shared" si="228"/>
        <v>83.300000589362014</v>
      </c>
      <c r="M476" s="11">
        <v>7</v>
      </c>
      <c r="N476" s="11" t="s">
        <v>994</v>
      </c>
      <c r="O476" s="11" t="s">
        <v>994</v>
      </c>
      <c r="P476" s="11" t="s">
        <v>274</v>
      </c>
      <c r="Q476" s="11" t="s">
        <v>34</v>
      </c>
      <c r="R476" s="2">
        <f t="shared" si="229"/>
        <v>353348.19</v>
      </c>
      <c r="S476" s="2">
        <v>353348.19</v>
      </c>
      <c r="T476" s="2">
        <v>0</v>
      </c>
      <c r="U476" s="2">
        <f t="shared" si="230"/>
        <v>62355.56</v>
      </c>
      <c r="V476" s="28">
        <v>62355.56</v>
      </c>
      <c r="W476" s="28">
        <v>0</v>
      </c>
      <c r="X476" s="2">
        <f t="shared" si="231"/>
        <v>0</v>
      </c>
      <c r="Y476" s="2">
        <v>0</v>
      </c>
      <c r="Z476" s="2">
        <v>0</v>
      </c>
      <c r="AA476" s="2">
        <f t="shared" si="232"/>
        <v>8483.75</v>
      </c>
      <c r="AB476" s="2">
        <v>8483.75</v>
      </c>
      <c r="AC476" s="2">
        <v>0</v>
      </c>
      <c r="AD476" s="16">
        <f t="shared" si="227"/>
        <v>424187.5</v>
      </c>
      <c r="AE476" s="2">
        <v>0</v>
      </c>
      <c r="AF476" s="2">
        <f t="shared" si="233"/>
        <v>424187.5</v>
      </c>
      <c r="AG476" s="38" t="s">
        <v>486</v>
      </c>
      <c r="AH476" s="29"/>
      <c r="AI476" s="118">
        <v>42000</v>
      </c>
      <c r="AJ476" s="30">
        <v>0</v>
      </c>
      <c r="AK476" s="179"/>
    </row>
    <row r="477" spans="1:37" s="43" customFormat="1" ht="283.5" x14ac:dyDescent="0.25">
      <c r="A477" s="6">
        <v>474</v>
      </c>
      <c r="B477" s="31">
        <v>151541</v>
      </c>
      <c r="C477" s="11">
        <v>1009</v>
      </c>
      <c r="D477" s="11" t="s">
        <v>1638</v>
      </c>
      <c r="E477" s="24" t="s">
        <v>2255</v>
      </c>
      <c r="F477" s="31" t="s">
        <v>2332</v>
      </c>
      <c r="G477" s="27" t="s">
        <v>2330</v>
      </c>
      <c r="H477" s="8" t="s">
        <v>151</v>
      </c>
      <c r="I477" s="46" t="s">
        <v>2876</v>
      </c>
      <c r="J477" s="25">
        <v>44742</v>
      </c>
      <c r="K477" s="25">
        <v>45107</v>
      </c>
      <c r="L477" s="26">
        <f t="shared" si="228"/>
        <v>83.299995691837864</v>
      </c>
      <c r="M477" s="11">
        <v>3</v>
      </c>
      <c r="N477" s="11" t="s">
        <v>200</v>
      </c>
      <c r="O477" s="11" t="s">
        <v>2331</v>
      </c>
      <c r="P477" s="11" t="s">
        <v>274</v>
      </c>
      <c r="Q477" s="11" t="s">
        <v>34</v>
      </c>
      <c r="R477" s="2">
        <f t="shared" si="229"/>
        <v>353837.64</v>
      </c>
      <c r="S477" s="2">
        <v>353837.64</v>
      </c>
      <c r="T477" s="2">
        <v>0</v>
      </c>
      <c r="U477" s="2">
        <f t="shared" si="230"/>
        <v>62441.96</v>
      </c>
      <c r="V477" s="28">
        <v>62441.96</v>
      </c>
      <c r="W477" s="28">
        <v>0</v>
      </c>
      <c r="X477" s="2">
        <f t="shared" si="231"/>
        <v>0</v>
      </c>
      <c r="Y477" s="2">
        <v>0</v>
      </c>
      <c r="Z477" s="2">
        <v>0</v>
      </c>
      <c r="AA477" s="2">
        <f t="shared" si="232"/>
        <v>8495.5</v>
      </c>
      <c r="AB477" s="2">
        <v>8495.5</v>
      </c>
      <c r="AC477" s="2">
        <v>0</v>
      </c>
      <c r="AD477" s="16">
        <f t="shared" si="227"/>
        <v>424775.10000000003</v>
      </c>
      <c r="AE477" s="2">
        <v>0</v>
      </c>
      <c r="AF477" s="2">
        <f t="shared" si="233"/>
        <v>424775.10000000003</v>
      </c>
      <c r="AG477" s="38" t="s">
        <v>486</v>
      </c>
      <c r="AH477" s="29"/>
      <c r="AI477" s="118">
        <v>42477</v>
      </c>
      <c r="AJ477" s="30">
        <v>0</v>
      </c>
      <c r="AK477" s="179"/>
    </row>
    <row r="478" spans="1:37" s="43" customFormat="1" ht="204.75" x14ac:dyDescent="0.25">
      <c r="A478" s="6">
        <v>475</v>
      </c>
      <c r="B478" s="31">
        <v>151558</v>
      </c>
      <c r="C478" s="11">
        <v>1012</v>
      </c>
      <c r="D478" s="11" t="s">
        <v>1638</v>
      </c>
      <c r="E478" s="24" t="s">
        <v>2255</v>
      </c>
      <c r="F478" s="31" t="s">
        <v>2334</v>
      </c>
      <c r="G478" s="27" t="s">
        <v>2333</v>
      </c>
      <c r="H478" s="8" t="s">
        <v>151</v>
      </c>
      <c r="I478" s="46" t="s">
        <v>2877</v>
      </c>
      <c r="J478" s="25">
        <v>44742</v>
      </c>
      <c r="K478" s="25">
        <v>45107</v>
      </c>
      <c r="L478" s="26">
        <f t="shared" si="228"/>
        <v>83.300000235320155</v>
      </c>
      <c r="M478" s="11">
        <v>3</v>
      </c>
      <c r="N478" s="11" t="s">
        <v>254</v>
      </c>
      <c r="O478" s="11" t="s">
        <v>865</v>
      </c>
      <c r="P478" s="11" t="s">
        <v>274</v>
      </c>
      <c r="Q478" s="11" t="s">
        <v>34</v>
      </c>
      <c r="R478" s="2">
        <f t="shared" si="229"/>
        <v>353985.85</v>
      </c>
      <c r="S478" s="2">
        <v>353985.85</v>
      </c>
      <c r="T478" s="2">
        <v>0</v>
      </c>
      <c r="U478" s="2">
        <f t="shared" si="230"/>
        <v>62468.09</v>
      </c>
      <c r="V478" s="28">
        <v>62468.09</v>
      </c>
      <c r="W478" s="28">
        <v>0</v>
      </c>
      <c r="X478" s="2">
        <f t="shared" si="231"/>
        <v>0</v>
      </c>
      <c r="Y478" s="2">
        <v>0</v>
      </c>
      <c r="Z478" s="2">
        <v>0</v>
      </c>
      <c r="AA478" s="2">
        <f t="shared" si="232"/>
        <v>8499.06</v>
      </c>
      <c r="AB478" s="2">
        <v>8499.06</v>
      </c>
      <c r="AC478" s="2">
        <v>0</v>
      </c>
      <c r="AD478" s="16">
        <f t="shared" si="227"/>
        <v>424952.99999999994</v>
      </c>
      <c r="AE478" s="2">
        <v>0</v>
      </c>
      <c r="AF478" s="2">
        <f t="shared" si="233"/>
        <v>424952.99999999994</v>
      </c>
      <c r="AG478" s="38" t="s">
        <v>486</v>
      </c>
      <c r="AH478" s="29"/>
      <c r="AI478" s="118">
        <v>42495</v>
      </c>
      <c r="AJ478" s="30">
        <v>0</v>
      </c>
      <c r="AK478" s="179"/>
    </row>
    <row r="479" spans="1:37" s="43" customFormat="1" ht="362.25" x14ac:dyDescent="0.25">
      <c r="A479" s="6">
        <v>476</v>
      </c>
      <c r="B479" s="31">
        <v>151288</v>
      </c>
      <c r="C479" s="11">
        <v>1048</v>
      </c>
      <c r="D479" s="11" t="s">
        <v>1638</v>
      </c>
      <c r="E479" s="24" t="s">
        <v>2255</v>
      </c>
      <c r="F479" s="31" t="s">
        <v>2336</v>
      </c>
      <c r="G479" s="27" t="s">
        <v>2335</v>
      </c>
      <c r="H479" s="11" t="s">
        <v>2337</v>
      </c>
      <c r="I479" s="46" t="s">
        <v>2878</v>
      </c>
      <c r="J479" s="25">
        <v>44739</v>
      </c>
      <c r="K479" s="25">
        <v>45165</v>
      </c>
      <c r="L479" s="26">
        <f t="shared" si="228"/>
        <v>83.299999764693155</v>
      </c>
      <c r="M479" s="11">
        <v>4</v>
      </c>
      <c r="N479" s="11" t="s">
        <v>268</v>
      </c>
      <c r="O479" s="11" t="s">
        <v>2338</v>
      </c>
      <c r="P479" s="11" t="s">
        <v>274</v>
      </c>
      <c r="Q479" s="11" t="s">
        <v>34</v>
      </c>
      <c r="R479" s="2">
        <f t="shared" si="229"/>
        <v>354005.84</v>
      </c>
      <c r="S479" s="2">
        <v>354005.84</v>
      </c>
      <c r="T479" s="2">
        <v>0</v>
      </c>
      <c r="U479" s="2">
        <f t="shared" si="230"/>
        <v>62471.62</v>
      </c>
      <c r="V479" s="28">
        <v>62471.62</v>
      </c>
      <c r="W479" s="28">
        <v>0</v>
      </c>
      <c r="X479" s="2">
        <f t="shared" si="231"/>
        <v>0</v>
      </c>
      <c r="Y479" s="2">
        <v>0</v>
      </c>
      <c r="Z479" s="2">
        <v>0</v>
      </c>
      <c r="AA479" s="2">
        <f t="shared" si="232"/>
        <v>8499.5400000000009</v>
      </c>
      <c r="AB479" s="2">
        <v>8499.5400000000009</v>
      </c>
      <c r="AC479" s="2">
        <v>0</v>
      </c>
      <c r="AD479" s="16">
        <f t="shared" si="227"/>
        <v>424977</v>
      </c>
      <c r="AE479" s="2">
        <v>0</v>
      </c>
      <c r="AF479" s="2">
        <f t="shared" si="233"/>
        <v>424977</v>
      </c>
      <c r="AG479" s="38" t="s">
        <v>486</v>
      </c>
      <c r="AH479" s="29"/>
      <c r="AI479" s="118">
        <v>42000</v>
      </c>
      <c r="AJ479" s="30">
        <v>0</v>
      </c>
      <c r="AK479" s="179"/>
    </row>
    <row r="480" spans="1:37" s="43" customFormat="1" ht="141.75" x14ac:dyDescent="0.25">
      <c r="A480" s="6">
        <v>477</v>
      </c>
      <c r="B480" s="31">
        <v>150283</v>
      </c>
      <c r="C480" s="11">
        <v>899</v>
      </c>
      <c r="D480" s="11" t="s">
        <v>1638</v>
      </c>
      <c r="E480" s="24" t="s">
        <v>2255</v>
      </c>
      <c r="F480" s="31" t="s">
        <v>2340</v>
      </c>
      <c r="G480" s="27" t="s">
        <v>2339</v>
      </c>
      <c r="H480" s="8" t="s">
        <v>151</v>
      </c>
      <c r="I480" s="46" t="s">
        <v>2879</v>
      </c>
      <c r="J480" s="25">
        <v>44743</v>
      </c>
      <c r="K480" s="25">
        <v>45170</v>
      </c>
      <c r="L480" s="26">
        <f t="shared" si="228"/>
        <v>83.300003015250923</v>
      </c>
      <c r="M480" s="11">
        <v>3</v>
      </c>
      <c r="N480" s="11" t="s">
        <v>189</v>
      </c>
      <c r="O480" s="11" t="s">
        <v>708</v>
      </c>
      <c r="P480" s="11" t="s">
        <v>274</v>
      </c>
      <c r="Q480" s="11" t="s">
        <v>34</v>
      </c>
      <c r="R480" s="2">
        <f t="shared" si="229"/>
        <v>280129.93</v>
      </c>
      <c r="S480" s="2">
        <v>280129.93</v>
      </c>
      <c r="T480" s="2">
        <v>0</v>
      </c>
      <c r="U480" s="2">
        <f t="shared" si="230"/>
        <v>49434.68</v>
      </c>
      <c r="V480" s="28">
        <v>49434.68</v>
      </c>
      <c r="W480" s="28">
        <v>0</v>
      </c>
      <c r="X480" s="2">
        <f t="shared" si="231"/>
        <v>0</v>
      </c>
      <c r="Y480" s="2">
        <v>0</v>
      </c>
      <c r="Z480" s="2">
        <v>0</v>
      </c>
      <c r="AA480" s="2">
        <f t="shared" si="232"/>
        <v>6725.81</v>
      </c>
      <c r="AB480" s="2">
        <v>6725.81</v>
      </c>
      <c r="AC480" s="2">
        <v>0</v>
      </c>
      <c r="AD480" s="16">
        <f t="shared" si="227"/>
        <v>336290.42</v>
      </c>
      <c r="AE480" s="2">
        <v>0</v>
      </c>
      <c r="AF480" s="2">
        <f t="shared" si="233"/>
        <v>336290.42</v>
      </c>
      <c r="AG480" s="38" t="s">
        <v>486</v>
      </c>
      <c r="AH480" s="29"/>
      <c r="AI480" s="118">
        <v>33629.040000000001</v>
      </c>
      <c r="AJ480" s="30">
        <v>0</v>
      </c>
      <c r="AK480" s="179"/>
    </row>
    <row r="481" spans="1:37" s="43" customFormat="1" ht="173.25" x14ac:dyDescent="0.25">
      <c r="A481" s="6">
        <v>478</v>
      </c>
      <c r="B481" s="31">
        <v>151338</v>
      </c>
      <c r="C481" s="11">
        <v>912</v>
      </c>
      <c r="D481" s="11" t="s">
        <v>1638</v>
      </c>
      <c r="E481" s="24" t="s">
        <v>2255</v>
      </c>
      <c r="F481" s="31" t="s">
        <v>2348</v>
      </c>
      <c r="G481" s="27" t="s">
        <v>2347</v>
      </c>
      <c r="H481" s="8" t="s">
        <v>151</v>
      </c>
      <c r="I481" s="46" t="s">
        <v>2880</v>
      </c>
      <c r="J481" s="25">
        <v>44749</v>
      </c>
      <c r="K481" s="25">
        <v>45176</v>
      </c>
      <c r="L481" s="26">
        <f t="shared" si="228"/>
        <v>83.299999474718931</v>
      </c>
      <c r="M481" s="11">
        <v>2</v>
      </c>
      <c r="N481" s="11" t="s">
        <v>280</v>
      </c>
      <c r="O481" s="11" t="s">
        <v>2349</v>
      </c>
      <c r="P481" s="11" t="s">
        <v>274</v>
      </c>
      <c r="Q481" s="11" t="s">
        <v>34</v>
      </c>
      <c r="R481" s="2">
        <f t="shared" si="229"/>
        <v>348879.89</v>
      </c>
      <c r="S481" s="2">
        <v>348879.89</v>
      </c>
      <c r="T481" s="2">
        <v>0</v>
      </c>
      <c r="U481" s="2">
        <f t="shared" si="230"/>
        <v>61567.05</v>
      </c>
      <c r="V481" s="28">
        <v>61567.05</v>
      </c>
      <c r="W481" s="28">
        <v>0</v>
      </c>
      <c r="X481" s="2">
        <f t="shared" si="231"/>
        <v>0</v>
      </c>
      <c r="Y481" s="2">
        <v>0</v>
      </c>
      <c r="Z481" s="2">
        <v>0</v>
      </c>
      <c r="AA481" s="2">
        <f t="shared" si="232"/>
        <v>8376.4599999999991</v>
      </c>
      <c r="AB481" s="2">
        <v>8376.4599999999991</v>
      </c>
      <c r="AC481" s="2">
        <v>0</v>
      </c>
      <c r="AD481" s="16">
        <f t="shared" si="227"/>
        <v>418823.4</v>
      </c>
      <c r="AE481" s="2">
        <v>0</v>
      </c>
      <c r="AF481" s="2">
        <f t="shared" si="233"/>
        <v>418823.4</v>
      </c>
      <c r="AG481" s="38" t="s">
        <v>486</v>
      </c>
      <c r="AH481" s="29"/>
      <c r="AI481" s="118">
        <v>41044.69</v>
      </c>
      <c r="AJ481" s="30">
        <v>0</v>
      </c>
      <c r="AK481" s="179"/>
    </row>
    <row r="482" spans="1:37" s="43" customFormat="1" ht="236.25" x14ac:dyDescent="0.25">
      <c r="A482" s="6">
        <v>479</v>
      </c>
      <c r="B482" s="31">
        <v>150967</v>
      </c>
      <c r="C482" s="11">
        <v>955</v>
      </c>
      <c r="D482" s="11" t="s">
        <v>1638</v>
      </c>
      <c r="E482" s="24" t="s">
        <v>2255</v>
      </c>
      <c r="F482" s="31" t="s">
        <v>2354</v>
      </c>
      <c r="G482" s="27" t="s">
        <v>2353</v>
      </c>
      <c r="H482" s="8" t="s">
        <v>151</v>
      </c>
      <c r="I482" s="46" t="s">
        <v>2358</v>
      </c>
      <c r="J482" s="25">
        <v>44746</v>
      </c>
      <c r="K482" s="25">
        <v>45111</v>
      </c>
      <c r="L482" s="26">
        <f t="shared" si="228"/>
        <v>83.299998362409966</v>
      </c>
      <c r="M482" s="11" t="s">
        <v>2355</v>
      </c>
      <c r="N482" s="11" t="s">
        <v>2356</v>
      </c>
      <c r="O482" s="11" t="s">
        <v>2357</v>
      </c>
      <c r="P482" s="11" t="s">
        <v>274</v>
      </c>
      <c r="Q482" s="11" t="s">
        <v>34</v>
      </c>
      <c r="R482" s="2">
        <f t="shared" si="229"/>
        <v>353528.65</v>
      </c>
      <c r="S482" s="2">
        <v>353528.65</v>
      </c>
      <c r="T482" s="2">
        <v>0</v>
      </c>
      <c r="U482" s="2">
        <f t="shared" si="230"/>
        <v>62387.41</v>
      </c>
      <c r="V482" s="28">
        <v>62387.41</v>
      </c>
      <c r="W482" s="28">
        <v>0</v>
      </c>
      <c r="X482" s="2">
        <f t="shared" si="231"/>
        <v>0</v>
      </c>
      <c r="Y482" s="2">
        <v>0</v>
      </c>
      <c r="Z482" s="2">
        <v>0</v>
      </c>
      <c r="AA482" s="2">
        <f t="shared" si="232"/>
        <v>8488.09</v>
      </c>
      <c r="AB482" s="2">
        <v>8488.09</v>
      </c>
      <c r="AC482" s="2">
        <v>0</v>
      </c>
      <c r="AD482" s="16">
        <f t="shared" si="227"/>
        <v>424404.15000000008</v>
      </c>
      <c r="AE482" s="2">
        <v>0</v>
      </c>
      <c r="AF482" s="2">
        <f t="shared" si="233"/>
        <v>424404.15000000008</v>
      </c>
      <c r="AG482" s="38" t="s">
        <v>486</v>
      </c>
      <c r="AH482" s="29"/>
      <c r="AI482" s="118">
        <v>42440.41</v>
      </c>
      <c r="AJ482" s="30">
        <v>0</v>
      </c>
      <c r="AK482" s="179"/>
    </row>
    <row r="483" spans="1:37" s="43" customFormat="1" ht="236.25" x14ac:dyDescent="0.25">
      <c r="A483" s="6">
        <v>480</v>
      </c>
      <c r="B483" s="31">
        <v>150850</v>
      </c>
      <c r="C483" s="11">
        <v>966</v>
      </c>
      <c r="D483" s="11" t="s">
        <v>1638</v>
      </c>
      <c r="E483" s="24" t="s">
        <v>2255</v>
      </c>
      <c r="F483" s="31" t="s">
        <v>2360</v>
      </c>
      <c r="G483" s="27" t="s">
        <v>2359</v>
      </c>
      <c r="H483" s="8" t="s">
        <v>151</v>
      </c>
      <c r="I483" s="46" t="s">
        <v>2361</v>
      </c>
      <c r="J483" s="25">
        <v>44746</v>
      </c>
      <c r="K483" s="25">
        <v>45173</v>
      </c>
      <c r="L483" s="26">
        <f t="shared" si="228"/>
        <v>83.3</v>
      </c>
      <c r="M483" s="11">
        <v>7</v>
      </c>
      <c r="N483" s="11" t="s">
        <v>416</v>
      </c>
      <c r="O483" s="11" t="s">
        <v>678</v>
      </c>
      <c r="P483" s="11" t="s">
        <v>274</v>
      </c>
      <c r="Q483" s="11" t="s">
        <v>34</v>
      </c>
      <c r="R483" s="2">
        <f t="shared" si="229"/>
        <v>329901.32</v>
      </c>
      <c r="S483" s="2">
        <v>329901.32</v>
      </c>
      <c r="T483" s="2">
        <v>0</v>
      </c>
      <c r="U483" s="2">
        <f t="shared" si="230"/>
        <v>58217.88</v>
      </c>
      <c r="V483" s="28">
        <v>58217.88</v>
      </c>
      <c r="W483" s="28">
        <v>0</v>
      </c>
      <c r="X483" s="2">
        <f t="shared" si="231"/>
        <v>0</v>
      </c>
      <c r="Y483" s="2">
        <v>0</v>
      </c>
      <c r="Z483" s="2">
        <v>0</v>
      </c>
      <c r="AA483" s="2">
        <f t="shared" si="232"/>
        <v>7920.8</v>
      </c>
      <c r="AB483" s="2">
        <v>7920.8</v>
      </c>
      <c r="AC483" s="2">
        <v>0</v>
      </c>
      <c r="AD483" s="16">
        <f t="shared" si="227"/>
        <v>396040</v>
      </c>
      <c r="AE483" s="2">
        <v>62662</v>
      </c>
      <c r="AF483" s="2">
        <f t="shared" si="233"/>
        <v>458702</v>
      </c>
      <c r="AG483" s="38" t="s">
        <v>486</v>
      </c>
      <c r="AH483" s="29"/>
      <c r="AI483" s="118">
        <v>0</v>
      </c>
      <c r="AJ483" s="30">
        <v>0</v>
      </c>
      <c r="AK483" s="179"/>
    </row>
    <row r="484" spans="1:37" s="43" customFormat="1" ht="157.5" x14ac:dyDescent="0.25">
      <c r="A484" s="6">
        <v>481</v>
      </c>
      <c r="B484" s="31">
        <v>151233</v>
      </c>
      <c r="C484" s="11">
        <v>1045</v>
      </c>
      <c r="D484" s="11" t="s">
        <v>1638</v>
      </c>
      <c r="E484" s="24" t="s">
        <v>2255</v>
      </c>
      <c r="F484" s="31" t="s">
        <v>2363</v>
      </c>
      <c r="G484" s="27" t="s">
        <v>2362</v>
      </c>
      <c r="H484" s="8" t="s">
        <v>151</v>
      </c>
      <c r="I484" s="46" t="s">
        <v>2364</v>
      </c>
      <c r="J484" s="25">
        <v>44748</v>
      </c>
      <c r="K484" s="25">
        <v>45175</v>
      </c>
      <c r="L484" s="26">
        <f t="shared" si="228"/>
        <v>83.300002526446505</v>
      </c>
      <c r="M484" s="11">
        <v>7</v>
      </c>
      <c r="N484" s="11" t="s">
        <v>752</v>
      </c>
      <c r="O484" s="11" t="s">
        <v>2365</v>
      </c>
      <c r="P484" s="11" t="s">
        <v>274</v>
      </c>
      <c r="Q484" s="11" t="s">
        <v>34</v>
      </c>
      <c r="R484" s="2">
        <f t="shared" si="229"/>
        <v>353781.1</v>
      </c>
      <c r="S484" s="2">
        <v>353781.1</v>
      </c>
      <c r="T484" s="2">
        <v>0</v>
      </c>
      <c r="U484" s="2">
        <f t="shared" si="230"/>
        <v>62431.95</v>
      </c>
      <c r="V484" s="28">
        <v>62431.95</v>
      </c>
      <c r="W484" s="28">
        <v>0</v>
      </c>
      <c r="X484" s="2">
        <f t="shared" si="231"/>
        <v>0</v>
      </c>
      <c r="Y484" s="2">
        <v>0</v>
      </c>
      <c r="Z484" s="2">
        <v>0</v>
      </c>
      <c r="AA484" s="2">
        <f t="shared" si="232"/>
        <v>8494.14</v>
      </c>
      <c r="AB484" s="2">
        <v>8494.14</v>
      </c>
      <c r="AC484" s="2">
        <v>0</v>
      </c>
      <c r="AD484" s="16">
        <f t="shared" si="227"/>
        <v>424707.19</v>
      </c>
      <c r="AE484" s="2">
        <v>0</v>
      </c>
      <c r="AF484" s="2">
        <f t="shared" si="233"/>
        <v>424707.19</v>
      </c>
      <c r="AG484" s="38" t="s">
        <v>486</v>
      </c>
      <c r="AH484" s="29"/>
      <c r="AI484" s="118">
        <v>42470.71</v>
      </c>
      <c r="AJ484" s="30">
        <v>0</v>
      </c>
      <c r="AK484" s="179"/>
    </row>
    <row r="485" spans="1:37" s="43" customFormat="1" ht="141.75" x14ac:dyDescent="0.25">
      <c r="A485" s="6">
        <v>482</v>
      </c>
      <c r="B485" s="31">
        <v>151108</v>
      </c>
      <c r="C485" s="11">
        <v>988</v>
      </c>
      <c r="D485" s="11" t="s">
        <v>1638</v>
      </c>
      <c r="E485" s="24" t="s">
        <v>2255</v>
      </c>
      <c r="F485" s="31" t="s">
        <v>2378</v>
      </c>
      <c r="G485" s="27" t="s">
        <v>2376</v>
      </c>
      <c r="H485" s="8" t="s">
        <v>151</v>
      </c>
      <c r="I485" s="46" t="s">
        <v>2881</v>
      </c>
      <c r="J485" s="25">
        <v>44753</v>
      </c>
      <c r="K485" s="25">
        <v>45180</v>
      </c>
      <c r="L485" s="26">
        <f t="shared" si="228"/>
        <v>83.30000026502492</v>
      </c>
      <c r="M485" s="11">
        <v>7</v>
      </c>
      <c r="N485" s="11" t="s">
        <v>660</v>
      </c>
      <c r="O485" s="11" t="s">
        <v>660</v>
      </c>
      <c r="P485" s="11" t="s">
        <v>274</v>
      </c>
      <c r="Q485" s="11" t="s">
        <v>34</v>
      </c>
      <c r="R485" s="2">
        <f t="shared" si="229"/>
        <v>314310.06</v>
      </c>
      <c r="S485" s="2">
        <v>314310.06</v>
      </c>
      <c r="T485" s="2">
        <v>0</v>
      </c>
      <c r="U485" s="2">
        <f t="shared" si="230"/>
        <v>55466.48</v>
      </c>
      <c r="V485" s="28">
        <v>55466.48</v>
      </c>
      <c r="W485" s="28">
        <v>0</v>
      </c>
      <c r="X485" s="2">
        <f t="shared" si="231"/>
        <v>0</v>
      </c>
      <c r="Y485" s="2">
        <v>0</v>
      </c>
      <c r="Z485" s="2">
        <v>0</v>
      </c>
      <c r="AA485" s="2">
        <f t="shared" si="232"/>
        <v>7546.46</v>
      </c>
      <c r="AB485" s="2">
        <v>7546.46</v>
      </c>
      <c r="AC485" s="2">
        <v>0</v>
      </c>
      <c r="AD485" s="16">
        <f t="shared" si="227"/>
        <v>377323</v>
      </c>
      <c r="AE485" s="2">
        <v>0</v>
      </c>
      <c r="AF485" s="2">
        <f t="shared" si="233"/>
        <v>377323</v>
      </c>
      <c r="AG485" s="38" t="s">
        <v>486</v>
      </c>
      <c r="AH485" s="29"/>
      <c r="AI485" s="118">
        <v>37732.300000000003</v>
      </c>
      <c r="AJ485" s="30">
        <v>0</v>
      </c>
      <c r="AK485" s="179"/>
    </row>
    <row r="486" spans="1:37" s="43" customFormat="1" ht="152.25" customHeight="1" x14ac:dyDescent="0.25">
      <c r="A486" s="6">
        <v>483</v>
      </c>
      <c r="B486" s="31">
        <v>151210</v>
      </c>
      <c r="C486" s="11">
        <v>995</v>
      </c>
      <c r="D486" s="11" t="s">
        <v>1638</v>
      </c>
      <c r="E486" s="24" t="s">
        <v>2255</v>
      </c>
      <c r="F486" s="31" t="s">
        <v>2379</v>
      </c>
      <c r="G486" s="27" t="s">
        <v>699</v>
      </c>
      <c r="H486" s="11" t="s">
        <v>2380</v>
      </c>
      <c r="I486" s="46" t="s">
        <v>2384</v>
      </c>
      <c r="J486" s="25">
        <v>44753</v>
      </c>
      <c r="K486" s="25">
        <v>45180</v>
      </c>
      <c r="L486" s="26">
        <f t="shared" si="228"/>
        <v>83.299999599491557</v>
      </c>
      <c r="M486" s="11" t="s">
        <v>2381</v>
      </c>
      <c r="N486" s="11" t="s">
        <v>2382</v>
      </c>
      <c r="O486" s="11" t="s">
        <v>2382</v>
      </c>
      <c r="P486" s="11" t="s">
        <v>274</v>
      </c>
      <c r="Q486" s="11" t="s">
        <v>34</v>
      </c>
      <c r="R486" s="2">
        <f t="shared" si="229"/>
        <v>347336</v>
      </c>
      <c r="S486" s="2">
        <v>347336</v>
      </c>
      <c r="T486" s="2">
        <v>0</v>
      </c>
      <c r="U486" s="2">
        <f t="shared" si="230"/>
        <v>61294.59</v>
      </c>
      <c r="V486" s="28">
        <v>61294.59</v>
      </c>
      <c r="W486" s="28">
        <v>0</v>
      </c>
      <c r="X486" s="2">
        <f t="shared" si="231"/>
        <v>0</v>
      </c>
      <c r="Y486" s="2">
        <v>0</v>
      </c>
      <c r="Z486" s="2">
        <v>0</v>
      </c>
      <c r="AA486" s="2">
        <f t="shared" si="232"/>
        <v>8339.4</v>
      </c>
      <c r="AB486" s="2">
        <v>8339.4</v>
      </c>
      <c r="AC486" s="2">
        <v>0</v>
      </c>
      <c r="AD486" s="16">
        <f t="shared" si="227"/>
        <v>416969.99</v>
      </c>
      <c r="AE486" s="2">
        <v>0</v>
      </c>
      <c r="AF486" s="2">
        <f t="shared" si="233"/>
        <v>416969.99</v>
      </c>
      <c r="AG486" s="38" t="s">
        <v>486</v>
      </c>
      <c r="AH486" s="29"/>
      <c r="AI486" s="118">
        <v>41696.99</v>
      </c>
      <c r="AJ486" s="30">
        <v>0</v>
      </c>
      <c r="AK486" s="179"/>
    </row>
    <row r="487" spans="1:37" s="43" customFormat="1" ht="152.25" customHeight="1" x14ac:dyDescent="0.25">
      <c r="A487" s="6">
        <v>484</v>
      </c>
      <c r="B487" s="31">
        <v>151412</v>
      </c>
      <c r="C487" s="11">
        <v>1041</v>
      </c>
      <c r="D487" s="11" t="s">
        <v>1638</v>
      </c>
      <c r="E487" s="24" t="s">
        <v>2255</v>
      </c>
      <c r="F487" s="31" t="s">
        <v>2383</v>
      </c>
      <c r="G487" s="27" t="s">
        <v>2366</v>
      </c>
      <c r="H487" s="8" t="s">
        <v>151</v>
      </c>
      <c r="I487" s="46" t="s">
        <v>2385</v>
      </c>
      <c r="J487" s="25">
        <v>44753</v>
      </c>
      <c r="K487" s="25">
        <v>45118</v>
      </c>
      <c r="L487" s="26">
        <f t="shared" si="228"/>
        <v>83.30000300477721</v>
      </c>
      <c r="M487" s="11">
        <v>3</v>
      </c>
      <c r="N487" s="11" t="s">
        <v>254</v>
      </c>
      <c r="O487" s="11" t="s">
        <v>254</v>
      </c>
      <c r="P487" s="11" t="s">
        <v>274</v>
      </c>
      <c r="Q487" s="11" t="s">
        <v>34</v>
      </c>
      <c r="R487" s="2">
        <f t="shared" si="229"/>
        <v>349858.23</v>
      </c>
      <c r="S487" s="2">
        <v>349858.23</v>
      </c>
      <c r="T487" s="2">
        <v>0</v>
      </c>
      <c r="U487" s="2">
        <f t="shared" si="230"/>
        <v>61739.66</v>
      </c>
      <c r="V487" s="28">
        <v>61739.66</v>
      </c>
      <c r="W487" s="28">
        <v>0</v>
      </c>
      <c r="X487" s="2">
        <f t="shared" si="231"/>
        <v>0</v>
      </c>
      <c r="Y487" s="2">
        <v>0</v>
      </c>
      <c r="Z487" s="2">
        <v>0</v>
      </c>
      <c r="AA487" s="2">
        <f t="shared" si="232"/>
        <v>8399.9699999999993</v>
      </c>
      <c r="AB487" s="2">
        <v>8399.9699999999993</v>
      </c>
      <c r="AC487" s="2">
        <v>0</v>
      </c>
      <c r="AD487" s="16">
        <f t="shared" si="227"/>
        <v>419997.86</v>
      </c>
      <c r="AE487" s="2">
        <v>0</v>
      </c>
      <c r="AF487" s="2">
        <f t="shared" si="233"/>
        <v>419997.86</v>
      </c>
      <c r="AG487" s="38" t="s">
        <v>486</v>
      </c>
      <c r="AH487" s="29"/>
      <c r="AI487" s="118">
        <v>41990</v>
      </c>
      <c r="AJ487" s="30">
        <v>0</v>
      </c>
      <c r="AK487" s="179"/>
    </row>
    <row r="488" spans="1:37" s="43" customFormat="1" ht="152.25" customHeight="1" x14ac:dyDescent="0.25">
      <c r="A488" s="6">
        <v>485</v>
      </c>
      <c r="B488" s="31">
        <v>151235</v>
      </c>
      <c r="C488" s="11">
        <v>1046</v>
      </c>
      <c r="D488" s="11" t="s">
        <v>1638</v>
      </c>
      <c r="E488" s="24" t="s">
        <v>2255</v>
      </c>
      <c r="F488" s="31" t="s">
        <v>2387</v>
      </c>
      <c r="G488" s="27" t="s">
        <v>2386</v>
      </c>
      <c r="H488" s="11" t="s">
        <v>2388</v>
      </c>
      <c r="I488" s="46" t="s">
        <v>2882</v>
      </c>
      <c r="J488" s="25">
        <v>44753</v>
      </c>
      <c r="K488" s="25">
        <v>45180</v>
      </c>
      <c r="L488" s="26">
        <f t="shared" si="228"/>
        <v>83.300000470803155</v>
      </c>
      <c r="M488" s="11">
        <v>4</v>
      </c>
      <c r="N488" s="11" t="s">
        <v>248</v>
      </c>
      <c r="O488" s="11" t="s">
        <v>248</v>
      </c>
      <c r="P488" s="11" t="s">
        <v>274</v>
      </c>
      <c r="Q488" s="11" t="s">
        <v>34</v>
      </c>
      <c r="R488" s="2">
        <f t="shared" si="229"/>
        <v>353863.4</v>
      </c>
      <c r="S488" s="2">
        <v>353863.4</v>
      </c>
      <c r="T488" s="2">
        <v>0</v>
      </c>
      <c r="U488" s="2">
        <f t="shared" si="230"/>
        <v>62446.48</v>
      </c>
      <c r="V488" s="28">
        <v>62446.48</v>
      </c>
      <c r="W488" s="28">
        <v>0</v>
      </c>
      <c r="X488" s="2">
        <f t="shared" si="231"/>
        <v>0</v>
      </c>
      <c r="Y488" s="2">
        <v>0</v>
      </c>
      <c r="Z488" s="2">
        <v>0</v>
      </c>
      <c r="AA488" s="2">
        <f t="shared" si="232"/>
        <v>8496.1200000000008</v>
      </c>
      <c r="AB488" s="2">
        <v>8496.1200000000008</v>
      </c>
      <c r="AC488" s="2">
        <v>0</v>
      </c>
      <c r="AD488" s="16">
        <f t="shared" si="227"/>
        <v>424806</v>
      </c>
      <c r="AE488" s="2">
        <v>0</v>
      </c>
      <c r="AF488" s="2">
        <f t="shared" si="233"/>
        <v>424806</v>
      </c>
      <c r="AG488" s="38" t="s">
        <v>486</v>
      </c>
      <c r="AH488" s="29"/>
      <c r="AI488" s="118">
        <v>42479.95</v>
      </c>
      <c r="AJ488" s="30">
        <v>0</v>
      </c>
      <c r="AK488" s="179"/>
    </row>
    <row r="489" spans="1:37" s="43" customFormat="1" ht="152.25" customHeight="1" x14ac:dyDescent="0.25">
      <c r="A489" s="6">
        <v>486</v>
      </c>
      <c r="B489" s="31">
        <v>151454</v>
      </c>
      <c r="C489" s="11">
        <v>1054</v>
      </c>
      <c r="D489" s="11" t="s">
        <v>1638</v>
      </c>
      <c r="E489" s="24" t="s">
        <v>2255</v>
      </c>
      <c r="F489" s="31" t="s">
        <v>2389</v>
      </c>
      <c r="G489" s="27" t="s">
        <v>1266</v>
      </c>
      <c r="H489" s="8" t="s">
        <v>151</v>
      </c>
      <c r="I489" s="46" t="s">
        <v>2390</v>
      </c>
      <c r="J489" s="25">
        <v>44753</v>
      </c>
      <c r="K489" s="25">
        <v>45118</v>
      </c>
      <c r="L489" s="26">
        <f t="shared" si="228"/>
        <v>83.300001366926054</v>
      </c>
      <c r="M489" s="11">
        <v>7</v>
      </c>
      <c r="N489" s="11" t="s">
        <v>226</v>
      </c>
      <c r="O489" s="11" t="s">
        <v>226</v>
      </c>
      <c r="P489" s="11" t="s">
        <v>274</v>
      </c>
      <c r="Q489" s="11" t="s">
        <v>34</v>
      </c>
      <c r="R489" s="2">
        <f t="shared" si="229"/>
        <v>316886.2</v>
      </c>
      <c r="S489" s="2">
        <v>316886.2</v>
      </c>
      <c r="T489" s="2">
        <v>0</v>
      </c>
      <c r="U489" s="2">
        <f t="shared" si="230"/>
        <v>55921.09</v>
      </c>
      <c r="V489" s="28">
        <v>55921.09</v>
      </c>
      <c r="W489" s="28">
        <v>0</v>
      </c>
      <c r="X489" s="2">
        <f t="shared" si="231"/>
        <v>0</v>
      </c>
      <c r="Y489" s="2">
        <v>0</v>
      </c>
      <c r="Z489" s="2">
        <v>0</v>
      </c>
      <c r="AA489" s="2">
        <f t="shared" si="232"/>
        <v>7608.31</v>
      </c>
      <c r="AB489" s="2">
        <v>7608.31</v>
      </c>
      <c r="AC489" s="2">
        <v>0</v>
      </c>
      <c r="AD489" s="16">
        <f t="shared" si="227"/>
        <v>380415.60000000003</v>
      </c>
      <c r="AE489" s="2">
        <v>0</v>
      </c>
      <c r="AF489" s="2">
        <f t="shared" si="233"/>
        <v>380415.60000000003</v>
      </c>
      <c r="AG489" s="38" t="s">
        <v>486</v>
      </c>
      <c r="AH489" s="29"/>
      <c r="AI489" s="118">
        <v>0</v>
      </c>
      <c r="AJ489" s="30">
        <v>0</v>
      </c>
      <c r="AK489" s="179"/>
    </row>
    <row r="490" spans="1:37" s="43" customFormat="1" ht="152.25" customHeight="1" x14ac:dyDescent="0.25">
      <c r="A490" s="6">
        <v>487</v>
      </c>
      <c r="B490" s="31">
        <v>151354</v>
      </c>
      <c r="C490" s="11">
        <v>875</v>
      </c>
      <c r="D490" s="11" t="s">
        <v>1638</v>
      </c>
      <c r="E490" s="24" t="s">
        <v>2255</v>
      </c>
      <c r="F490" s="31" t="s">
        <v>2392</v>
      </c>
      <c r="G490" s="27" t="s">
        <v>2391</v>
      </c>
      <c r="H490" s="8" t="s">
        <v>151</v>
      </c>
      <c r="I490" s="46" t="s">
        <v>2883</v>
      </c>
      <c r="J490" s="25">
        <v>44755</v>
      </c>
      <c r="K490" s="25">
        <v>45182</v>
      </c>
      <c r="L490" s="26">
        <f t="shared" si="228"/>
        <v>83.30000168597104</v>
      </c>
      <c r="M490" s="11">
        <v>1</v>
      </c>
      <c r="N490" s="11" t="s">
        <v>290</v>
      </c>
      <c r="O490" s="11" t="s">
        <v>2393</v>
      </c>
      <c r="P490" s="11" t="s">
        <v>274</v>
      </c>
      <c r="Q490" s="11" t="s">
        <v>34</v>
      </c>
      <c r="R490" s="2">
        <f t="shared" si="229"/>
        <v>345854.11</v>
      </c>
      <c r="S490" s="2">
        <v>345854.11</v>
      </c>
      <c r="T490" s="2">
        <v>0</v>
      </c>
      <c r="U490" s="2">
        <f t="shared" si="230"/>
        <v>61033.07</v>
      </c>
      <c r="V490" s="28">
        <v>61033.07</v>
      </c>
      <c r="W490" s="28">
        <v>0</v>
      </c>
      <c r="X490" s="2">
        <f t="shared" si="231"/>
        <v>0</v>
      </c>
      <c r="Y490" s="2">
        <v>0</v>
      </c>
      <c r="Z490" s="2">
        <v>0</v>
      </c>
      <c r="AA490" s="2">
        <f t="shared" si="232"/>
        <v>8303.82</v>
      </c>
      <c r="AB490" s="2">
        <v>8303.82</v>
      </c>
      <c r="AC490" s="2">
        <v>0</v>
      </c>
      <c r="AD490" s="16">
        <f t="shared" si="227"/>
        <v>415191</v>
      </c>
      <c r="AE490" s="2">
        <v>0</v>
      </c>
      <c r="AF490" s="2">
        <f t="shared" si="233"/>
        <v>415191</v>
      </c>
      <c r="AG490" s="38" t="s">
        <v>486</v>
      </c>
      <c r="AH490" s="29"/>
      <c r="AI490" s="118">
        <v>41519</v>
      </c>
      <c r="AJ490" s="30">
        <v>0</v>
      </c>
      <c r="AK490" s="179"/>
    </row>
    <row r="491" spans="1:37" s="43" customFormat="1" ht="152.25" customHeight="1" x14ac:dyDescent="0.25">
      <c r="A491" s="6">
        <v>488</v>
      </c>
      <c r="B491" s="31">
        <v>151315</v>
      </c>
      <c r="C491" s="11">
        <v>907</v>
      </c>
      <c r="D491" s="11" t="s">
        <v>1638</v>
      </c>
      <c r="E491" s="24" t="s">
        <v>2255</v>
      </c>
      <c r="F491" s="31" t="s">
        <v>2395</v>
      </c>
      <c r="G491" s="27" t="s">
        <v>2394</v>
      </c>
      <c r="H491" s="8" t="s">
        <v>151</v>
      </c>
      <c r="I491" s="46" t="s">
        <v>2884</v>
      </c>
      <c r="J491" s="25">
        <v>44755</v>
      </c>
      <c r="K491" s="25">
        <v>45090</v>
      </c>
      <c r="L491" s="26">
        <f t="shared" si="228"/>
        <v>83.299999314431147</v>
      </c>
      <c r="M491" s="11">
        <v>7</v>
      </c>
      <c r="N491" s="11" t="s">
        <v>660</v>
      </c>
      <c r="O491" s="11" t="s">
        <v>660</v>
      </c>
      <c r="P491" s="11" t="s">
        <v>274</v>
      </c>
      <c r="Q491" s="11" t="s">
        <v>34</v>
      </c>
      <c r="R491" s="2">
        <f t="shared" si="229"/>
        <v>334138.58</v>
      </c>
      <c r="S491" s="2">
        <v>334138.58</v>
      </c>
      <c r="T491" s="2">
        <v>0</v>
      </c>
      <c r="U491" s="2">
        <f t="shared" si="230"/>
        <v>58965.64</v>
      </c>
      <c r="V491" s="28">
        <v>58965.64</v>
      </c>
      <c r="W491" s="28">
        <v>0</v>
      </c>
      <c r="X491" s="2">
        <f t="shared" si="231"/>
        <v>0</v>
      </c>
      <c r="Y491" s="2">
        <v>0</v>
      </c>
      <c r="Z491" s="2">
        <v>0</v>
      </c>
      <c r="AA491" s="2">
        <f t="shared" si="232"/>
        <v>8022.53</v>
      </c>
      <c r="AB491" s="2">
        <v>8022.53</v>
      </c>
      <c r="AC491" s="2">
        <v>0</v>
      </c>
      <c r="AD491" s="16">
        <f t="shared" si="227"/>
        <v>401126.75000000006</v>
      </c>
      <c r="AE491" s="2">
        <v>0</v>
      </c>
      <c r="AF491" s="2">
        <f t="shared" si="233"/>
        <v>401126.75000000006</v>
      </c>
      <c r="AG491" s="38" t="s">
        <v>486</v>
      </c>
      <c r="AH491" s="29"/>
      <c r="AI491" s="118">
        <v>0</v>
      </c>
      <c r="AJ491" s="30">
        <v>0</v>
      </c>
      <c r="AK491" s="179"/>
    </row>
    <row r="492" spans="1:37" s="43" customFormat="1" ht="152.25" customHeight="1" x14ac:dyDescent="0.25">
      <c r="A492" s="6">
        <v>489</v>
      </c>
      <c r="B492" s="31">
        <v>150331</v>
      </c>
      <c r="C492" s="11">
        <v>925</v>
      </c>
      <c r="D492" s="11" t="s">
        <v>1638</v>
      </c>
      <c r="E492" s="24" t="s">
        <v>2255</v>
      </c>
      <c r="F492" s="31" t="s">
        <v>2397</v>
      </c>
      <c r="G492" s="27" t="s">
        <v>2396</v>
      </c>
      <c r="H492" s="8" t="s">
        <v>151</v>
      </c>
      <c r="I492" s="46" t="s">
        <v>2885</v>
      </c>
      <c r="J492" s="25">
        <v>44755</v>
      </c>
      <c r="K492" s="25">
        <v>45120</v>
      </c>
      <c r="L492" s="26">
        <f t="shared" si="228"/>
        <v>83.300000595029118</v>
      </c>
      <c r="M492" s="11">
        <v>5</v>
      </c>
      <c r="N492" s="11" t="s">
        <v>592</v>
      </c>
      <c r="O492" s="11" t="s">
        <v>2398</v>
      </c>
      <c r="P492" s="11" t="s">
        <v>274</v>
      </c>
      <c r="Q492" s="11" t="s">
        <v>34</v>
      </c>
      <c r="R492" s="2">
        <f t="shared" si="229"/>
        <v>349982.87</v>
      </c>
      <c r="S492" s="2">
        <v>349982.87</v>
      </c>
      <c r="T492" s="2">
        <v>0</v>
      </c>
      <c r="U492" s="2">
        <f t="shared" si="230"/>
        <v>61761.68</v>
      </c>
      <c r="V492" s="28">
        <v>61761.68</v>
      </c>
      <c r="W492" s="28">
        <v>0</v>
      </c>
      <c r="X492" s="2">
        <f t="shared" si="231"/>
        <v>0</v>
      </c>
      <c r="Y492" s="2">
        <v>0</v>
      </c>
      <c r="Z492" s="2">
        <v>0</v>
      </c>
      <c r="AA492" s="2">
        <f t="shared" si="232"/>
        <v>8402.9500000000007</v>
      </c>
      <c r="AB492" s="2">
        <v>8402.9500000000007</v>
      </c>
      <c r="AC492" s="2">
        <v>0</v>
      </c>
      <c r="AD492" s="16">
        <f t="shared" si="227"/>
        <v>420147.5</v>
      </c>
      <c r="AE492" s="2">
        <v>0</v>
      </c>
      <c r="AF492" s="2">
        <f t="shared" si="233"/>
        <v>420147.5</v>
      </c>
      <c r="AG492" s="38" t="s">
        <v>486</v>
      </c>
      <c r="AH492" s="29"/>
      <c r="AI492" s="118">
        <v>42014.75</v>
      </c>
      <c r="AJ492" s="30">
        <v>0</v>
      </c>
      <c r="AK492" s="179"/>
    </row>
    <row r="493" spans="1:37" s="43" customFormat="1" ht="152.25" customHeight="1" x14ac:dyDescent="0.25">
      <c r="A493" s="6">
        <v>490</v>
      </c>
      <c r="B493" s="31">
        <v>151301</v>
      </c>
      <c r="C493" s="11">
        <v>887</v>
      </c>
      <c r="D493" s="11" t="s">
        <v>1638</v>
      </c>
      <c r="E493" s="24" t="s">
        <v>2255</v>
      </c>
      <c r="F493" s="31" t="s">
        <v>2400</v>
      </c>
      <c r="G493" s="27" t="s">
        <v>2399</v>
      </c>
      <c r="H493" s="8" t="s">
        <v>151</v>
      </c>
      <c r="I493" s="46" t="s">
        <v>2886</v>
      </c>
      <c r="J493" s="25">
        <v>44755</v>
      </c>
      <c r="K493" s="25">
        <v>45182</v>
      </c>
      <c r="L493" s="26">
        <f t="shared" si="228"/>
        <v>83.300000484383489</v>
      </c>
      <c r="M493" s="11">
        <v>5</v>
      </c>
      <c r="N493" s="11" t="s">
        <v>285</v>
      </c>
      <c r="O493" s="11" t="s">
        <v>2401</v>
      </c>
      <c r="P493" s="11" t="s">
        <v>274</v>
      </c>
      <c r="Q493" s="11" t="s">
        <v>34</v>
      </c>
      <c r="R493" s="2">
        <f t="shared" si="229"/>
        <v>343942.37</v>
      </c>
      <c r="S493" s="2">
        <v>343942.37</v>
      </c>
      <c r="T493" s="2">
        <v>0</v>
      </c>
      <c r="U493" s="2">
        <f t="shared" si="230"/>
        <v>60695.72</v>
      </c>
      <c r="V493" s="28">
        <v>60695.72</v>
      </c>
      <c r="W493" s="28">
        <v>0</v>
      </c>
      <c r="X493" s="2">
        <f t="shared" si="231"/>
        <v>0</v>
      </c>
      <c r="Y493" s="2">
        <v>0</v>
      </c>
      <c r="Z493" s="2">
        <v>0</v>
      </c>
      <c r="AA493" s="2">
        <f t="shared" si="232"/>
        <v>8257.91</v>
      </c>
      <c r="AB493" s="2">
        <v>8257.91</v>
      </c>
      <c r="AC493" s="2">
        <v>0</v>
      </c>
      <c r="AD493" s="16">
        <f t="shared" si="227"/>
        <v>412895.99999999994</v>
      </c>
      <c r="AE493" s="2">
        <v>0</v>
      </c>
      <c r="AF493" s="2">
        <f t="shared" si="233"/>
        <v>412895.99999999994</v>
      </c>
      <c r="AG493" s="38" t="s">
        <v>486</v>
      </c>
      <c r="AH493" s="29"/>
      <c r="AI493" s="118">
        <v>41000</v>
      </c>
      <c r="AJ493" s="30">
        <v>0</v>
      </c>
      <c r="AK493" s="179"/>
    </row>
    <row r="494" spans="1:37" s="43" customFormat="1" ht="152.25" customHeight="1" x14ac:dyDescent="0.25">
      <c r="A494" s="6">
        <v>491</v>
      </c>
      <c r="B494" s="31">
        <v>151295</v>
      </c>
      <c r="C494" s="11">
        <v>1051</v>
      </c>
      <c r="D494" s="11" t="s">
        <v>1638</v>
      </c>
      <c r="E494" s="24" t="s">
        <v>2255</v>
      </c>
      <c r="F494" s="31" t="s">
        <v>2403</v>
      </c>
      <c r="G494" s="27" t="s">
        <v>2402</v>
      </c>
      <c r="H494" s="8" t="s">
        <v>151</v>
      </c>
      <c r="I494" s="46" t="s">
        <v>2887</v>
      </c>
      <c r="J494" s="25">
        <v>44755</v>
      </c>
      <c r="K494" s="25">
        <v>45120</v>
      </c>
      <c r="L494" s="26">
        <f t="shared" si="228"/>
        <v>83.300002448799688</v>
      </c>
      <c r="M494" s="11">
        <v>3</v>
      </c>
      <c r="N494" s="11" t="s">
        <v>200</v>
      </c>
      <c r="O494" s="11" t="s">
        <v>1507</v>
      </c>
      <c r="P494" s="11" t="s">
        <v>274</v>
      </c>
      <c r="Q494" s="11" t="s">
        <v>34</v>
      </c>
      <c r="R494" s="2">
        <f t="shared" si="229"/>
        <v>346970</v>
      </c>
      <c r="S494" s="2">
        <v>346970</v>
      </c>
      <c r="T494" s="2">
        <v>0</v>
      </c>
      <c r="U494" s="2">
        <f t="shared" si="230"/>
        <v>61229.99</v>
      </c>
      <c r="V494" s="28">
        <v>61229.99</v>
      </c>
      <c r="W494" s="28">
        <v>0</v>
      </c>
      <c r="X494" s="2">
        <f t="shared" si="231"/>
        <v>0</v>
      </c>
      <c r="Y494" s="2">
        <v>0</v>
      </c>
      <c r="Z494" s="2">
        <v>0</v>
      </c>
      <c r="AA494" s="2">
        <f t="shared" si="232"/>
        <v>8330.61</v>
      </c>
      <c r="AB494" s="2">
        <v>8330.61</v>
      </c>
      <c r="AC494" s="2">
        <v>0</v>
      </c>
      <c r="AD494" s="16">
        <f t="shared" si="227"/>
        <v>416530.6</v>
      </c>
      <c r="AE494" s="2">
        <v>0</v>
      </c>
      <c r="AF494" s="2">
        <f t="shared" si="233"/>
        <v>416530.6</v>
      </c>
      <c r="AG494" s="38" t="s">
        <v>486</v>
      </c>
      <c r="AH494" s="29"/>
      <c r="AI494" s="118">
        <v>41653.06</v>
      </c>
      <c r="AJ494" s="30">
        <v>0</v>
      </c>
      <c r="AK494" s="179"/>
    </row>
    <row r="495" spans="1:37" s="43" customFormat="1" ht="152.25" customHeight="1" x14ac:dyDescent="0.25">
      <c r="A495" s="6">
        <v>492</v>
      </c>
      <c r="B495" s="31">
        <v>151518</v>
      </c>
      <c r="C495" s="11">
        <v>919</v>
      </c>
      <c r="D495" s="11" t="s">
        <v>1638</v>
      </c>
      <c r="E495" s="24" t="s">
        <v>2255</v>
      </c>
      <c r="F495" s="31" t="s">
        <v>2406</v>
      </c>
      <c r="G495" s="27" t="s">
        <v>2405</v>
      </c>
      <c r="H495" s="8" t="s">
        <v>151</v>
      </c>
      <c r="I495" s="46" t="s">
        <v>2888</v>
      </c>
      <c r="J495" s="25">
        <v>44756</v>
      </c>
      <c r="K495" s="25">
        <v>45183</v>
      </c>
      <c r="L495" s="26">
        <f t="shared" si="228"/>
        <v>83.299999109753415</v>
      </c>
      <c r="M495" s="11">
        <v>1</v>
      </c>
      <c r="N495" s="11" t="s">
        <v>361</v>
      </c>
      <c r="O495" s="11" t="s">
        <v>2407</v>
      </c>
      <c r="P495" s="11" t="s">
        <v>274</v>
      </c>
      <c r="Q495" s="11" t="s">
        <v>34</v>
      </c>
      <c r="R495" s="2">
        <f t="shared" si="229"/>
        <v>327493.53000000003</v>
      </c>
      <c r="S495" s="2">
        <v>327493.53000000003</v>
      </c>
      <c r="T495" s="2">
        <v>0</v>
      </c>
      <c r="U495" s="2">
        <f t="shared" si="230"/>
        <v>57792.98</v>
      </c>
      <c r="V495" s="28">
        <v>57792.98</v>
      </c>
      <c r="W495" s="28">
        <v>0</v>
      </c>
      <c r="X495" s="2">
        <f t="shared" si="231"/>
        <v>0</v>
      </c>
      <c r="Y495" s="2">
        <v>0</v>
      </c>
      <c r="Z495" s="2">
        <v>0</v>
      </c>
      <c r="AA495" s="2">
        <f t="shared" si="232"/>
        <v>7862.99</v>
      </c>
      <c r="AB495" s="2">
        <v>7862.99</v>
      </c>
      <c r="AC495" s="2">
        <v>0</v>
      </c>
      <c r="AD495" s="16">
        <f t="shared" si="227"/>
        <v>393149.5</v>
      </c>
      <c r="AE495" s="2">
        <v>0</v>
      </c>
      <c r="AF495" s="2">
        <f t="shared" si="233"/>
        <v>393149.5</v>
      </c>
      <c r="AG495" s="38" t="s">
        <v>486</v>
      </c>
      <c r="AH495" s="29"/>
      <c r="AI495" s="118">
        <v>39300</v>
      </c>
      <c r="AJ495" s="30">
        <v>0</v>
      </c>
      <c r="AK495" s="179"/>
    </row>
    <row r="496" spans="1:37" s="43" customFormat="1" ht="152.25" customHeight="1" x14ac:dyDescent="0.25">
      <c r="A496" s="6">
        <v>493</v>
      </c>
      <c r="B496" s="31">
        <v>151300</v>
      </c>
      <c r="C496" s="11">
        <v>879</v>
      </c>
      <c r="D496" s="11" t="s">
        <v>1638</v>
      </c>
      <c r="E496" s="24" t="s">
        <v>2255</v>
      </c>
      <c r="F496" s="31" t="s">
        <v>2409</v>
      </c>
      <c r="G496" s="27" t="s">
        <v>2408</v>
      </c>
      <c r="H496" s="8" t="s">
        <v>151</v>
      </c>
      <c r="I496" s="46" t="s">
        <v>2410</v>
      </c>
      <c r="J496" s="25">
        <v>44756</v>
      </c>
      <c r="K496" s="25">
        <v>45183</v>
      </c>
      <c r="L496" s="26">
        <f t="shared" si="228"/>
        <v>83.30000190778712</v>
      </c>
      <c r="M496" s="11">
        <v>6</v>
      </c>
      <c r="N496" s="11" t="s">
        <v>763</v>
      </c>
      <c r="O496" s="11" t="s">
        <v>763</v>
      </c>
      <c r="P496" s="11" t="s">
        <v>274</v>
      </c>
      <c r="Q496" s="11" t="s">
        <v>34</v>
      </c>
      <c r="R496" s="2">
        <f t="shared" si="229"/>
        <v>349305.23</v>
      </c>
      <c r="S496" s="2">
        <v>349305.23</v>
      </c>
      <c r="T496" s="2">
        <v>0</v>
      </c>
      <c r="U496" s="2">
        <f t="shared" si="230"/>
        <v>61642.09</v>
      </c>
      <c r="V496" s="28">
        <v>61642.09</v>
      </c>
      <c r="W496" s="28">
        <v>0</v>
      </c>
      <c r="X496" s="2">
        <f t="shared" si="231"/>
        <v>0</v>
      </c>
      <c r="Y496" s="2">
        <v>0</v>
      </c>
      <c r="Z496" s="2">
        <v>0</v>
      </c>
      <c r="AA496" s="2">
        <f t="shared" si="232"/>
        <v>8386.68</v>
      </c>
      <c r="AB496" s="2">
        <v>8386.68</v>
      </c>
      <c r="AC496" s="2">
        <v>0</v>
      </c>
      <c r="AD496" s="16">
        <f t="shared" si="227"/>
        <v>419333.99999999994</v>
      </c>
      <c r="AE496" s="2">
        <v>0</v>
      </c>
      <c r="AF496" s="2">
        <f t="shared" si="233"/>
        <v>419333.99999999994</v>
      </c>
      <c r="AG496" s="38" t="s">
        <v>486</v>
      </c>
      <c r="AH496" s="29"/>
      <c r="AI496" s="118">
        <v>41933</v>
      </c>
      <c r="AJ496" s="30">
        <v>0</v>
      </c>
      <c r="AK496" s="179"/>
    </row>
    <row r="497" spans="1:37" s="43" customFormat="1" ht="152.25" customHeight="1" x14ac:dyDescent="0.25">
      <c r="A497" s="6">
        <v>494</v>
      </c>
      <c r="B497" s="31">
        <v>150631</v>
      </c>
      <c r="C497" s="11">
        <v>881</v>
      </c>
      <c r="D497" s="11" t="s">
        <v>1638</v>
      </c>
      <c r="E497" s="24" t="s">
        <v>2255</v>
      </c>
      <c r="F497" s="31" t="s">
        <v>2412</v>
      </c>
      <c r="G497" s="27" t="s">
        <v>2411</v>
      </c>
      <c r="H497" s="8" t="s">
        <v>151</v>
      </c>
      <c r="I497" s="46" t="s">
        <v>2413</v>
      </c>
      <c r="J497" s="25">
        <v>44756</v>
      </c>
      <c r="K497" s="25">
        <v>45183</v>
      </c>
      <c r="L497" s="26">
        <f t="shared" si="228"/>
        <v>83.300001945932266</v>
      </c>
      <c r="M497" s="11">
        <v>2</v>
      </c>
      <c r="N497" s="11" t="s">
        <v>485</v>
      </c>
      <c r="O497" s="11" t="s">
        <v>2414</v>
      </c>
      <c r="P497" s="11" t="s">
        <v>274</v>
      </c>
      <c r="Q497" s="11" t="s">
        <v>34</v>
      </c>
      <c r="R497" s="2">
        <f t="shared" si="229"/>
        <v>342457.97</v>
      </c>
      <c r="S497" s="2">
        <v>342457.97</v>
      </c>
      <c r="T497" s="2">
        <v>0</v>
      </c>
      <c r="U497" s="2">
        <f t="shared" si="230"/>
        <v>60433.75</v>
      </c>
      <c r="V497" s="28">
        <v>60433.75</v>
      </c>
      <c r="W497" s="28">
        <v>0</v>
      </c>
      <c r="X497" s="2">
        <f t="shared" si="231"/>
        <v>0</v>
      </c>
      <c r="Y497" s="2">
        <v>0</v>
      </c>
      <c r="Z497" s="2">
        <v>0</v>
      </c>
      <c r="AA497" s="2">
        <f t="shared" si="232"/>
        <v>8222.2800000000007</v>
      </c>
      <c r="AB497" s="2">
        <v>8222.2800000000007</v>
      </c>
      <c r="AC497" s="2">
        <v>0</v>
      </c>
      <c r="AD497" s="16">
        <f t="shared" si="227"/>
        <v>411114</v>
      </c>
      <c r="AE497" s="2">
        <v>0</v>
      </c>
      <c r="AF497" s="2">
        <f t="shared" si="233"/>
        <v>411114</v>
      </c>
      <c r="AG497" s="38" t="s">
        <v>486</v>
      </c>
      <c r="AH497" s="29"/>
      <c r="AI497" s="118">
        <v>41111</v>
      </c>
      <c r="AJ497" s="30">
        <v>0</v>
      </c>
      <c r="AK497" s="179"/>
    </row>
    <row r="498" spans="1:37" s="43" customFormat="1" ht="152.25" customHeight="1" x14ac:dyDescent="0.25">
      <c r="A498" s="6">
        <v>495</v>
      </c>
      <c r="B498" s="31">
        <v>151131</v>
      </c>
      <c r="C498" s="11">
        <v>902</v>
      </c>
      <c r="D498" s="11" t="s">
        <v>1638</v>
      </c>
      <c r="E498" s="24" t="s">
        <v>2255</v>
      </c>
      <c r="F498" s="31" t="s">
        <v>2416</v>
      </c>
      <c r="G498" s="27" t="s">
        <v>2415</v>
      </c>
      <c r="H498" s="8" t="s">
        <v>151</v>
      </c>
      <c r="I498" s="46" t="s">
        <v>2889</v>
      </c>
      <c r="J498" s="25">
        <v>44756</v>
      </c>
      <c r="K498" s="25">
        <v>45121</v>
      </c>
      <c r="L498" s="26">
        <f t="shared" si="228"/>
        <v>83.299997175832658</v>
      </c>
      <c r="M498" s="11">
        <v>4</v>
      </c>
      <c r="N498" s="11" t="s">
        <v>499</v>
      </c>
      <c r="O498" s="11" t="s">
        <v>499</v>
      </c>
      <c r="P498" s="11" t="s">
        <v>274</v>
      </c>
      <c r="Q498" s="11" t="s">
        <v>34</v>
      </c>
      <c r="R498" s="2">
        <f t="shared" si="229"/>
        <v>353945.02</v>
      </c>
      <c r="S498" s="2">
        <v>353945.02</v>
      </c>
      <c r="T498" s="2">
        <v>0</v>
      </c>
      <c r="U498" s="2">
        <f t="shared" si="230"/>
        <v>62460.9</v>
      </c>
      <c r="V498" s="28">
        <v>62460.9</v>
      </c>
      <c r="W498" s="28">
        <v>0</v>
      </c>
      <c r="X498" s="2">
        <f t="shared" si="231"/>
        <v>0</v>
      </c>
      <c r="Y498" s="2">
        <v>0</v>
      </c>
      <c r="Z498" s="2">
        <v>0</v>
      </c>
      <c r="AA498" s="2">
        <f t="shared" si="232"/>
        <v>8498.08</v>
      </c>
      <c r="AB498" s="2">
        <v>8498.08</v>
      </c>
      <c r="AC498" s="2">
        <v>0</v>
      </c>
      <c r="AD498" s="16">
        <f t="shared" si="227"/>
        <v>424904.00000000006</v>
      </c>
      <c r="AE498" s="2">
        <v>0</v>
      </c>
      <c r="AF498" s="2">
        <f t="shared" si="233"/>
        <v>424904.00000000006</v>
      </c>
      <c r="AG498" s="38" t="s">
        <v>486</v>
      </c>
      <c r="AH498" s="29"/>
      <c r="AI498" s="118">
        <v>42490.400000000001</v>
      </c>
      <c r="AJ498" s="30">
        <v>0</v>
      </c>
      <c r="AK498" s="179"/>
    </row>
    <row r="499" spans="1:37" s="43" customFormat="1" ht="152.25" customHeight="1" x14ac:dyDescent="0.25">
      <c r="A499" s="6">
        <v>496</v>
      </c>
      <c r="B499" s="31">
        <v>151133</v>
      </c>
      <c r="C499" s="11">
        <v>904</v>
      </c>
      <c r="D499" s="11" t="s">
        <v>1638</v>
      </c>
      <c r="E499" s="24" t="s">
        <v>2255</v>
      </c>
      <c r="F499" s="31" t="s">
        <v>2418</v>
      </c>
      <c r="G499" s="27" t="s">
        <v>2417</v>
      </c>
      <c r="H499" s="8" t="s">
        <v>151</v>
      </c>
      <c r="I499" s="46" t="s">
        <v>2889</v>
      </c>
      <c r="J499" s="25">
        <v>44756</v>
      </c>
      <c r="K499" s="25">
        <v>45121</v>
      </c>
      <c r="L499" s="26">
        <f t="shared" si="228"/>
        <v>83.299997175832658</v>
      </c>
      <c r="M499" s="11">
        <v>6</v>
      </c>
      <c r="N499" s="11" t="s">
        <v>582</v>
      </c>
      <c r="O499" s="11" t="s">
        <v>582</v>
      </c>
      <c r="P499" s="11" t="s">
        <v>274</v>
      </c>
      <c r="Q499" s="11" t="s">
        <v>34</v>
      </c>
      <c r="R499" s="2">
        <f t="shared" si="229"/>
        <v>353945.02</v>
      </c>
      <c r="S499" s="2">
        <v>353945.02</v>
      </c>
      <c r="T499" s="2">
        <v>0</v>
      </c>
      <c r="U499" s="2">
        <f t="shared" si="230"/>
        <v>62460.9</v>
      </c>
      <c r="V499" s="28">
        <v>62460.9</v>
      </c>
      <c r="W499" s="28">
        <v>0</v>
      </c>
      <c r="X499" s="2">
        <f t="shared" si="231"/>
        <v>0</v>
      </c>
      <c r="Y499" s="2">
        <v>0</v>
      </c>
      <c r="Z499" s="2">
        <v>0</v>
      </c>
      <c r="AA499" s="2">
        <f t="shared" si="232"/>
        <v>8498.08</v>
      </c>
      <c r="AB499" s="2">
        <v>8498.08</v>
      </c>
      <c r="AC499" s="2">
        <v>0</v>
      </c>
      <c r="AD499" s="16">
        <f t="shared" si="227"/>
        <v>424904.00000000006</v>
      </c>
      <c r="AE499" s="2">
        <v>0</v>
      </c>
      <c r="AF499" s="2">
        <f t="shared" si="233"/>
        <v>424904.00000000006</v>
      </c>
      <c r="AG499" s="38" t="s">
        <v>486</v>
      </c>
      <c r="AH499" s="29"/>
      <c r="AI499" s="118">
        <v>42490.400000000001</v>
      </c>
      <c r="AJ499" s="30">
        <v>0</v>
      </c>
      <c r="AK499" s="179"/>
    </row>
    <row r="500" spans="1:37" s="43" customFormat="1" ht="152.25" customHeight="1" x14ac:dyDescent="0.25">
      <c r="A500" s="6">
        <v>497</v>
      </c>
      <c r="B500" s="31">
        <v>151135</v>
      </c>
      <c r="C500" s="11">
        <v>905</v>
      </c>
      <c r="D500" s="11" t="s">
        <v>1638</v>
      </c>
      <c r="E500" s="24" t="s">
        <v>2255</v>
      </c>
      <c r="F500" s="31" t="s">
        <v>2420</v>
      </c>
      <c r="G500" s="27" t="s">
        <v>2419</v>
      </c>
      <c r="H500" s="8" t="s">
        <v>151</v>
      </c>
      <c r="I500" s="46" t="s">
        <v>2890</v>
      </c>
      <c r="J500" s="25">
        <v>44756</v>
      </c>
      <c r="K500" s="25">
        <v>45121</v>
      </c>
      <c r="L500" s="26">
        <f t="shared" si="228"/>
        <v>83.299997175832658</v>
      </c>
      <c r="M500" s="11">
        <v>4</v>
      </c>
      <c r="N500" s="11" t="s">
        <v>499</v>
      </c>
      <c r="O500" s="11" t="s">
        <v>499</v>
      </c>
      <c r="P500" s="11" t="s">
        <v>274</v>
      </c>
      <c r="Q500" s="11" t="s">
        <v>34</v>
      </c>
      <c r="R500" s="2">
        <f t="shared" si="229"/>
        <v>353945.02</v>
      </c>
      <c r="S500" s="2">
        <v>353945.02</v>
      </c>
      <c r="T500" s="2">
        <v>0</v>
      </c>
      <c r="U500" s="2">
        <f t="shared" si="230"/>
        <v>62460.9</v>
      </c>
      <c r="V500" s="28">
        <v>62460.9</v>
      </c>
      <c r="W500" s="28">
        <v>0</v>
      </c>
      <c r="X500" s="2">
        <f t="shared" si="231"/>
        <v>0</v>
      </c>
      <c r="Y500" s="2">
        <v>0</v>
      </c>
      <c r="Z500" s="2">
        <v>0</v>
      </c>
      <c r="AA500" s="2">
        <f t="shared" si="232"/>
        <v>8498.08</v>
      </c>
      <c r="AB500" s="2">
        <v>8498.08</v>
      </c>
      <c r="AC500" s="2">
        <v>0</v>
      </c>
      <c r="AD500" s="16">
        <f t="shared" si="227"/>
        <v>424904.00000000006</v>
      </c>
      <c r="AE500" s="2">
        <v>0</v>
      </c>
      <c r="AF500" s="2">
        <f t="shared" si="233"/>
        <v>424904.00000000006</v>
      </c>
      <c r="AG500" s="38" t="s">
        <v>486</v>
      </c>
      <c r="AH500" s="29"/>
      <c r="AI500" s="118">
        <v>42490.400000000001</v>
      </c>
      <c r="AJ500" s="30">
        <v>0</v>
      </c>
      <c r="AK500" s="179"/>
    </row>
    <row r="501" spans="1:37" s="43" customFormat="1" ht="152.25" customHeight="1" x14ac:dyDescent="0.25">
      <c r="A501" s="6">
        <v>498</v>
      </c>
      <c r="B501" s="31">
        <v>151227</v>
      </c>
      <c r="C501" s="11">
        <v>906</v>
      </c>
      <c r="D501" s="11" t="s">
        <v>1638</v>
      </c>
      <c r="E501" s="24" t="s">
        <v>2255</v>
      </c>
      <c r="F501" s="31" t="s">
        <v>2422</v>
      </c>
      <c r="G501" s="27" t="s">
        <v>2421</v>
      </c>
      <c r="H501" s="8" t="s">
        <v>151</v>
      </c>
      <c r="I501" s="46" t="s">
        <v>2891</v>
      </c>
      <c r="J501" s="25">
        <v>44756</v>
      </c>
      <c r="K501" s="25">
        <v>45183</v>
      </c>
      <c r="L501" s="26">
        <f t="shared" si="228"/>
        <v>83.300000941903392</v>
      </c>
      <c r="M501" s="11" t="s">
        <v>2423</v>
      </c>
      <c r="N501" s="11" t="s">
        <v>2424</v>
      </c>
      <c r="O501" s="11" t="s">
        <v>2424</v>
      </c>
      <c r="P501" s="11" t="s">
        <v>274</v>
      </c>
      <c r="Q501" s="11" t="s">
        <v>34</v>
      </c>
      <c r="R501" s="2">
        <f t="shared" si="229"/>
        <v>353751.78</v>
      </c>
      <c r="S501" s="2">
        <v>353751.78</v>
      </c>
      <c r="T501" s="2">
        <v>0</v>
      </c>
      <c r="U501" s="2">
        <f t="shared" si="230"/>
        <v>62426.78</v>
      </c>
      <c r="V501" s="28">
        <v>62426.78</v>
      </c>
      <c r="W501" s="28">
        <v>0</v>
      </c>
      <c r="X501" s="2">
        <f t="shared" si="231"/>
        <v>0</v>
      </c>
      <c r="Y501" s="2">
        <v>0</v>
      </c>
      <c r="Z501" s="2">
        <v>0</v>
      </c>
      <c r="AA501" s="2">
        <f t="shared" si="232"/>
        <v>8493.44</v>
      </c>
      <c r="AB501" s="2">
        <v>8493.44</v>
      </c>
      <c r="AC501" s="2">
        <v>0</v>
      </c>
      <c r="AD501" s="16">
        <f t="shared" si="227"/>
        <v>424672.00000000006</v>
      </c>
      <c r="AE501" s="2">
        <v>0</v>
      </c>
      <c r="AF501" s="2">
        <f t="shared" si="233"/>
        <v>424672.00000000006</v>
      </c>
      <c r="AG501" s="38" t="s">
        <v>486</v>
      </c>
      <c r="AH501" s="29"/>
      <c r="AI501" s="118">
        <v>0</v>
      </c>
      <c r="AJ501" s="30">
        <v>0</v>
      </c>
      <c r="AK501" s="179"/>
    </row>
    <row r="502" spans="1:37" s="43" customFormat="1" ht="152.25" customHeight="1" x14ac:dyDescent="0.25">
      <c r="A502" s="6">
        <v>499</v>
      </c>
      <c r="B502" s="31">
        <v>150956</v>
      </c>
      <c r="C502" s="11">
        <v>889</v>
      </c>
      <c r="D502" s="11" t="s">
        <v>1638</v>
      </c>
      <c r="E502" s="24" t="s">
        <v>2255</v>
      </c>
      <c r="F502" s="31" t="s">
        <v>2426</v>
      </c>
      <c r="G502" s="27" t="s">
        <v>2425</v>
      </c>
      <c r="H502" s="8" t="s">
        <v>151</v>
      </c>
      <c r="I502" s="46" t="s">
        <v>2427</v>
      </c>
      <c r="J502" s="25">
        <v>44761</v>
      </c>
      <c r="K502" s="25">
        <v>45188</v>
      </c>
      <c r="L502" s="26">
        <f t="shared" si="228"/>
        <v>83.299998802551357</v>
      </c>
      <c r="M502" s="11">
        <v>3</v>
      </c>
      <c r="N502" s="11" t="s">
        <v>189</v>
      </c>
      <c r="O502" s="11" t="s">
        <v>189</v>
      </c>
      <c r="P502" s="11" t="s">
        <v>274</v>
      </c>
      <c r="Q502" s="11" t="s">
        <v>34</v>
      </c>
      <c r="R502" s="2">
        <f t="shared" si="229"/>
        <v>350605.43</v>
      </c>
      <c r="S502" s="2">
        <v>350605.43</v>
      </c>
      <c r="T502" s="2">
        <v>0</v>
      </c>
      <c r="U502" s="2">
        <f t="shared" si="230"/>
        <v>61871.56</v>
      </c>
      <c r="V502" s="28">
        <v>61871.56</v>
      </c>
      <c r="W502" s="28">
        <v>0</v>
      </c>
      <c r="X502" s="2">
        <f t="shared" si="231"/>
        <v>0</v>
      </c>
      <c r="Y502" s="2">
        <v>0</v>
      </c>
      <c r="Z502" s="2">
        <v>0</v>
      </c>
      <c r="AA502" s="2">
        <f t="shared" si="232"/>
        <v>8417.89</v>
      </c>
      <c r="AB502" s="2">
        <v>8417.89</v>
      </c>
      <c r="AC502" s="2">
        <v>0</v>
      </c>
      <c r="AD502" s="16">
        <f t="shared" si="227"/>
        <v>420894.88</v>
      </c>
      <c r="AE502" s="2">
        <v>0</v>
      </c>
      <c r="AF502" s="2">
        <f t="shared" si="233"/>
        <v>420894.88</v>
      </c>
      <c r="AG502" s="38" t="s">
        <v>486</v>
      </c>
      <c r="AH502" s="29"/>
      <c r="AI502" s="118">
        <v>42089</v>
      </c>
      <c r="AJ502" s="30">
        <v>0</v>
      </c>
      <c r="AK502" s="179"/>
    </row>
    <row r="503" spans="1:37" s="43" customFormat="1" ht="152.25" customHeight="1" x14ac:dyDescent="0.25">
      <c r="A503" s="6">
        <v>500</v>
      </c>
      <c r="B503" s="31">
        <v>151080</v>
      </c>
      <c r="C503" s="11">
        <v>900</v>
      </c>
      <c r="D503" s="11" t="s">
        <v>1638</v>
      </c>
      <c r="E503" s="24" t="s">
        <v>2255</v>
      </c>
      <c r="F503" s="31" t="s">
        <v>2433</v>
      </c>
      <c r="G503" s="27" t="s">
        <v>2432</v>
      </c>
      <c r="H503" s="8" t="s">
        <v>151</v>
      </c>
      <c r="I503" s="46" t="s">
        <v>2434</v>
      </c>
      <c r="J503" s="25">
        <v>44761</v>
      </c>
      <c r="K503" s="25">
        <v>45126</v>
      </c>
      <c r="L503" s="26">
        <f t="shared" si="228"/>
        <v>83.300000706083381</v>
      </c>
      <c r="M503" s="11">
        <v>1</v>
      </c>
      <c r="N503" s="11" t="s">
        <v>361</v>
      </c>
      <c r="O503" s="11" t="s">
        <v>2435</v>
      </c>
      <c r="P503" s="11" t="s">
        <v>274</v>
      </c>
      <c r="Q503" s="11" t="s">
        <v>34</v>
      </c>
      <c r="R503" s="2">
        <f t="shared" si="229"/>
        <v>353924.21</v>
      </c>
      <c r="S503" s="2">
        <v>353924.21</v>
      </c>
      <c r="T503" s="2">
        <v>0</v>
      </c>
      <c r="U503" s="2">
        <f t="shared" si="230"/>
        <v>62457.21</v>
      </c>
      <c r="V503" s="28">
        <v>62457.21</v>
      </c>
      <c r="W503" s="28">
        <v>0</v>
      </c>
      <c r="X503" s="2">
        <f t="shared" si="231"/>
        <v>0</v>
      </c>
      <c r="Y503" s="2">
        <v>0</v>
      </c>
      <c r="Z503" s="2">
        <v>0</v>
      </c>
      <c r="AA503" s="2">
        <f t="shared" si="232"/>
        <v>8497.58</v>
      </c>
      <c r="AB503" s="2">
        <v>8497.58</v>
      </c>
      <c r="AC503" s="2">
        <v>0</v>
      </c>
      <c r="AD503" s="16">
        <f t="shared" si="227"/>
        <v>424879.00000000006</v>
      </c>
      <c r="AE503" s="2">
        <v>0</v>
      </c>
      <c r="AF503" s="2">
        <f t="shared" si="233"/>
        <v>424879.00000000006</v>
      </c>
      <c r="AG503" s="38" t="s">
        <v>486</v>
      </c>
      <c r="AH503" s="29"/>
      <c r="AI503" s="118">
        <v>42487.9</v>
      </c>
      <c r="AJ503" s="30">
        <v>0</v>
      </c>
      <c r="AK503" s="179"/>
    </row>
    <row r="504" spans="1:37" s="43" customFormat="1" ht="152.25" customHeight="1" x14ac:dyDescent="0.25">
      <c r="A504" s="6">
        <v>501</v>
      </c>
      <c r="B504" s="31">
        <v>151326</v>
      </c>
      <c r="C504" s="11">
        <v>908</v>
      </c>
      <c r="D504" s="11" t="s">
        <v>1638</v>
      </c>
      <c r="E504" s="24" t="s">
        <v>2255</v>
      </c>
      <c r="F504" s="31" t="s">
        <v>2437</v>
      </c>
      <c r="G504" s="27" t="s">
        <v>2436</v>
      </c>
      <c r="H504" s="8" t="s">
        <v>151</v>
      </c>
      <c r="I504" s="46" t="s">
        <v>2892</v>
      </c>
      <c r="J504" s="25">
        <v>44761</v>
      </c>
      <c r="K504" s="25">
        <v>45188</v>
      </c>
      <c r="L504" s="26">
        <f t="shared" si="228"/>
        <v>83.300003641619597</v>
      </c>
      <c r="M504" s="11">
        <v>7</v>
      </c>
      <c r="N504" s="11" t="s">
        <v>226</v>
      </c>
      <c r="O504" s="11" t="s">
        <v>2438</v>
      </c>
      <c r="P504" s="11" t="s">
        <v>274</v>
      </c>
      <c r="Q504" s="11" t="s">
        <v>34</v>
      </c>
      <c r="R504" s="2">
        <f t="shared" si="229"/>
        <v>353638.82</v>
      </c>
      <c r="S504" s="2">
        <v>353638.82</v>
      </c>
      <c r="T504" s="2">
        <v>0</v>
      </c>
      <c r="U504" s="2">
        <f t="shared" si="230"/>
        <v>62406.82</v>
      </c>
      <c r="V504" s="28">
        <v>62406.82</v>
      </c>
      <c r="W504" s="28">
        <v>0</v>
      </c>
      <c r="X504" s="2">
        <f t="shared" si="231"/>
        <v>0</v>
      </c>
      <c r="Y504" s="2">
        <v>0</v>
      </c>
      <c r="Z504" s="2">
        <v>0</v>
      </c>
      <c r="AA504" s="2">
        <f t="shared" si="232"/>
        <v>8490.74</v>
      </c>
      <c r="AB504" s="2">
        <v>8490.74</v>
      </c>
      <c r="AC504" s="2">
        <v>0</v>
      </c>
      <c r="AD504" s="16">
        <f t="shared" si="227"/>
        <v>424536.38</v>
      </c>
      <c r="AE504" s="2">
        <v>0</v>
      </c>
      <c r="AF504" s="2">
        <f t="shared" si="233"/>
        <v>424536.38</v>
      </c>
      <c r="AG504" s="38" t="s">
        <v>486</v>
      </c>
      <c r="AH504" s="29"/>
      <c r="AI504" s="118">
        <v>42453.63</v>
      </c>
      <c r="AJ504" s="30">
        <v>0</v>
      </c>
      <c r="AK504" s="179"/>
    </row>
    <row r="505" spans="1:37" s="43" customFormat="1" ht="152.25" customHeight="1" x14ac:dyDescent="0.25">
      <c r="A505" s="6">
        <v>502</v>
      </c>
      <c r="B505" s="31">
        <v>151444</v>
      </c>
      <c r="C505" s="11">
        <v>914</v>
      </c>
      <c r="D505" s="11" t="s">
        <v>1638</v>
      </c>
      <c r="E505" s="24" t="s">
        <v>2255</v>
      </c>
      <c r="F505" s="31" t="s">
        <v>2440</v>
      </c>
      <c r="G505" s="27" t="s">
        <v>2439</v>
      </c>
      <c r="H505" s="8" t="s">
        <v>151</v>
      </c>
      <c r="I505" s="46" t="s">
        <v>2893</v>
      </c>
      <c r="J505" s="25">
        <v>44761</v>
      </c>
      <c r="K505" s="25">
        <v>45157</v>
      </c>
      <c r="L505" s="26">
        <f t="shared" si="228"/>
        <v>83.299997992131509</v>
      </c>
      <c r="M505" s="11">
        <v>2</v>
      </c>
      <c r="N505" s="11" t="s">
        <v>1917</v>
      </c>
      <c r="O505" s="11" t="s">
        <v>1917</v>
      </c>
      <c r="P505" s="11" t="s">
        <v>274</v>
      </c>
      <c r="Q505" s="11" t="s">
        <v>34</v>
      </c>
      <c r="R505" s="2">
        <f t="shared" si="229"/>
        <v>352637.63</v>
      </c>
      <c r="S505" s="2">
        <v>352637.63</v>
      </c>
      <c r="T505" s="2">
        <v>0</v>
      </c>
      <c r="U505" s="2">
        <f t="shared" si="230"/>
        <v>62230.18</v>
      </c>
      <c r="V505" s="28">
        <v>62230.18</v>
      </c>
      <c r="W505" s="28">
        <v>0</v>
      </c>
      <c r="X505" s="2">
        <f t="shared" si="231"/>
        <v>0</v>
      </c>
      <c r="Y505" s="2">
        <v>0</v>
      </c>
      <c r="Z505" s="2">
        <v>0</v>
      </c>
      <c r="AA505" s="2">
        <f t="shared" si="232"/>
        <v>8466.69</v>
      </c>
      <c r="AB505" s="2">
        <v>8466.69</v>
      </c>
      <c r="AC505" s="2">
        <v>0</v>
      </c>
      <c r="AD505" s="16">
        <f t="shared" si="227"/>
        <v>423334.5</v>
      </c>
      <c r="AE505" s="2">
        <v>0</v>
      </c>
      <c r="AF505" s="2">
        <f t="shared" si="233"/>
        <v>423334.5</v>
      </c>
      <c r="AG505" s="38" t="s">
        <v>486</v>
      </c>
      <c r="AH505" s="29"/>
      <c r="AI505" s="118">
        <v>41486.78</v>
      </c>
      <c r="AJ505" s="30">
        <v>0</v>
      </c>
      <c r="AK505" s="179"/>
    </row>
    <row r="506" spans="1:37" s="43" customFormat="1" ht="152.25" customHeight="1" x14ac:dyDescent="0.25">
      <c r="A506" s="6">
        <v>503</v>
      </c>
      <c r="B506" s="31">
        <v>151266</v>
      </c>
      <c r="C506" s="11">
        <v>970</v>
      </c>
      <c r="D506" s="11" t="s">
        <v>1638</v>
      </c>
      <c r="E506" s="24" t="s">
        <v>2255</v>
      </c>
      <c r="F506" s="31" t="s">
        <v>2442</v>
      </c>
      <c r="G506" s="27" t="s">
        <v>2441</v>
      </c>
      <c r="H506" s="8" t="s">
        <v>2443</v>
      </c>
      <c r="I506" s="46" t="s">
        <v>2894</v>
      </c>
      <c r="J506" s="25">
        <v>44762</v>
      </c>
      <c r="K506" s="25">
        <v>45189</v>
      </c>
      <c r="L506" s="26">
        <f t="shared" si="228"/>
        <v>83.299998586978532</v>
      </c>
      <c r="M506" s="11" t="s">
        <v>2444</v>
      </c>
      <c r="N506" s="11" t="s">
        <v>2445</v>
      </c>
      <c r="O506" s="11" t="s">
        <v>2446</v>
      </c>
      <c r="P506" s="11" t="s">
        <v>274</v>
      </c>
      <c r="Q506" s="11" t="s">
        <v>34</v>
      </c>
      <c r="R506" s="2">
        <f t="shared" si="229"/>
        <v>353710.12</v>
      </c>
      <c r="S506" s="2">
        <v>353710.12</v>
      </c>
      <c r="T506" s="2">
        <v>0</v>
      </c>
      <c r="U506" s="2">
        <f t="shared" si="230"/>
        <v>62419.44</v>
      </c>
      <c r="V506" s="28">
        <v>62419.44</v>
      </c>
      <c r="W506" s="28">
        <v>0</v>
      </c>
      <c r="X506" s="2">
        <f t="shared" si="231"/>
        <v>0</v>
      </c>
      <c r="Y506" s="2">
        <v>0</v>
      </c>
      <c r="Z506" s="2">
        <v>0</v>
      </c>
      <c r="AA506" s="2">
        <f t="shared" si="232"/>
        <v>8492.44</v>
      </c>
      <c r="AB506" s="2">
        <v>8492.44</v>
      </c>
      <c r="AC506" s="2">
        <v>0</v>
      </c>
      <c r="AD506" s="16">
        <f t="shared" si="227"/>
        <v>424622</v>
      </c>
      <c r="AE506" s="2">
        <v>0</v>
      </c>
      <c r="AF506" s="2">
        <f t="shared" si="233"/>
        <v>424622</v>
      </c>
      <c r="AG506" s="38" t="s">
        <v>486</v>
      </c>
      <c r="AH506" s="29"/>
      <c r="AI506" s="118">
        <v>0</v>
      </c>
      <c r="AJ506" s="30">
        <v>0</v>
      </c>
      <c r="AK506" s="179"/>
    </row>
    <row r="507" spans="1:37" s="43" customFormat="1" ht="152.25" customHeight="1" x14ac:dyDescent="0.25">
      <c r="A507" s="6">
        <v>504</v>
      </c>
      <c r="B507" s="31">
        <v>151105</v>
      </c>
      <c r="C507" s="11">
        <v>985</v>
      </c>
      <c r="D507" s="11" t="s">
        <v>1638</v>
      </c>
      <c r="E507" s="24" t="s">
        <v>2255</v>
      </c>
      <c r="F507" s="31" t="s">
        <v>2448</v>
      </c>
      <c r="G507" s="27" t="s">
        <v>2447</v>
      </c>
      <c r="H507" s="8" t="s">
        <v>151</v>
      </c>
      <c r="I507" s="46" t="s">
        <v>2449</v>
      </c>
      <c r="J507" s="25">
        <v>44762</v>
      </c>
      <c r="K507" s="25">
        <v>45158</v>
      </c>
      <c r="L507" s="26">
        <f t="shared" si="228"/>
        <v>83.300002208523523</v>
      </c>
      <c r="M507" s="11">
        <v>7</v>
      </c>
      <c r="N507" s="11" t="s">
        <v>226</v>
      </c>
      <c r="O507" s="11" t="s">
        <v>226</v>
      </c>
      <c r="P507" s="11" t="s">
        <v>274</v>
      </c>
      <c r="Q507" s="11" t="s">
        <v>34</v>
      </c>
      <c r="R507" s="2">
        <f t="shared" si="229"/>
        <v>353790.22</v>
      </c>
      <c r="S507" s="2">
        <v>353790.22</v>
      </c>
      <c r="T507" s="2">
        <v>0</v>
      </c>
      <c r="U507" s="2">
        <f t="shared" si="230"/>
        <v>62433.56</v>
      </c>
      <c r="V507" s="28">
        <v>62433.56</v>
      </c>
      <c r="W507" s="28">
        <v>0</v>
      </c>
      <c r="X507" s="2">
        <f t="shared" si="231"/>
        <v>0</v>
      </c>
      <c r="Y507" s="2">
        <v>0</v>
      </c>
      <c r="Z507" s="2">
        <v>0</v>
      </c>
      <c r="AA507" s="2">
        <f t="shared" si="232"/>
        <v>8494.36</v>
      </c>
      <c r="AB507" s="2">
        <v>8494.36</v>
      </c>
      <c r="AC507" s="2">
        <v>0</v>
      </c>
      <c r="AD507" s="16">
        <f t="shared" si="227"/>
        <v>424718.13999999996</v>
      </c>
      <c r="AE507" s="2">
        <v>0</v>
      </c>
      <c r="AF507" s="2">
        <f t="shared" si="233"/>
        <v>424718.13999999996</v>
      </c>
      <c r="AG507" s="38" t="s">
        <v>486</v>
      </c>
      <c r="AH507" s="29"/>
      <c r="AI507" s="118">
        <v>42471.18</v>
      </c>
      <c r="AJ507" s="30">
        <v>0</v>
      </c>
      <c r="AK507" s="179"/>
    </row>
    <row r="508" spans="1:37" s="43" customFormat="1" ht="152.25" customHeight="1" x14ac:dyDescent="0.25">
      <c r="A508" s="6">
        <v>505</v>
      </c>
      <c r="B508" s="31">
        <v>151531</v>
      </c>
      <c r="C508" s="11">
        <v>1003</v>
      </c>
      <c r="D508" s="11" t="s">
        <v>1638</v>
      </c>
      <c r="E508" s="24" t="s">
        <v>2255</v>
      </c>
      <c r="F508" s="31" t="s">
        <v>2451</v>
      </c>
      <c r="G508" s="27" t="s">
        <v>2450</v>
      </c>
      <c r="H508" s="8" t="s">
        <v>151</v>
      </c>
      <c r="I508" s="46" t="s">
        <v>2895</v>
      </c>
      <c r="J508" s="25">
        <v>44762</v>
      </c>
      <c r="K508" s="25">
        <v>45189</v>
      </c>
      <c r="L508" s="26">
        <f t="shared" si="228"/>
        <v>83.299997851486978</v>
      </c>
      <c r="M508" s="11">
        <v>3</v>
      </c>
      <c r="N508" s="11" t="s">
        <v>1469</v>
      </c>
      <c r="O508" s="11" t="s">
        <v>2452</v>
      </c>
      <c r="P508" s="11" t="s">
        <v>274</v>
      </c>
      <c r="Q508" s="11" t="s">
        <v>34</v>
      </c>
      <c r="R508" s="2">
        <f t="shared" si="229"/>
        <v>322962.43</v>
      </c>
      <c r="S508" s="2">
        <v>322962.43</v>
      </c>
      <c r="T508" s="2">
        <v>0</v>
      </c>
      <c r="U508" s="2">
        <f t="shared" si="230"/>
        <v>56993.37</v>
      </c>
      <c r="V508" s="28">
        <v>56993.37</v>
      </c>
      <c r="W508" s="28">
        <v>0</v>
      </c>
      <c r="X508" s="2">
        <f t="shared" si="231"/>
        <v>0</v>
      </c>
      <c r="Y508" s="2">
        <v>0</v>
      </c>
      <c r="Z508" s="2">
        <v>0</v>
      </c>
      <c r="AA508" s="2">
        <f t="shared" si="232"/>
        <v>7754.21</v>
      </c>
      <c r="AB508" s="2">
        <v>7754.21</v>
      </c>
      <c r="AC508" s="2">
        <v>0</v>
      </c>
      <c r="AD508" s="16">
        <f t="shared" si="227"/>
        <v>387710.01</v>
      </c>
      <c r="AE508" s="2">
        <v>0</v>
      </c>
      <c r="AF508" s="2">
        <f t="shared" si="233"/>
        <v>387710.01</v>
      </c>
      <c r="AG508" s="38" t="s">
        <v>486</v>
      </c>
      <c r="AH508" s="29"/>
      <c r="AI508" s="118">
        <v>38771</v>
      </c>
      <c r="AJ508" s="30">
        <v>0</v>
      </c>
      <c r="AK508" s="179"/>
    </row>
    <row r="509" spans="1:37" s="43" customFormat="1" ht="152.25" customHeight="1" x14ac:dyDescent="0.25">
      <c r="A509" s="6">
        <v>506</v>
      </c>
      <c r="B509" s="31">
        <v>151157</v>
      </c>
      <c r="C509" s="11">
        <v>1034</v>
      </c>
      <c r="D509" s="11" t="s">
        <v>1638</v>
      </c>
      <c r="E509" s="24" t="s">
        <v>2255</v>
      </c>
      <c r="F509" s="31" t="s">
        <v>2454</v>
      </c>
      <c r="G509" s="27" t="s">
        <v>2453</v>
      </c>
      <c r="H509" s="8" t="s">
        <v>151</v>
      </c>
      <c r="I509" s="46" t="s">
        <v>2455</v>
      </c>
      <c r="J509" s="25">
        <v>44761</v>
      </c>
      <c r="K509" s="25">
        <v>45188</v>
      </c>
      <c r="L509" s="26">
        <f t="shared" si="228"/>
        <v>83.300002589270449</v>
      </c>
      <c r="M509" s="11">
        <v>4</v>
      </c>
      <c r="N509" s="11" t="s">
        <v>231</v>
      </c>
      <c r="O509" s="11" t="s">
        <v>2456</v>
      </c>
      <c r="P509" s="11" t="s">
        <v>274</v>
      </c>
      <c r="Q509" s="11" t="s">
        <v>34</v>
      </c>
      <c r="R509" s="2">
        <f t="shared" si="229"/>
        <v>210078.1</v>
      </c>
      <c r="S509" s="2">
        <v>210078.1</v>
      </c>
      <c r="T509" s="2">
        <v>0</v>
      </c>
      <c r="U509" s="2">
        <f t="shared" si="230"/>
        <v>37072.6</v>
      </c>
      <c r="V509" s="28">
        <v>37072.6</v>
      </c>
      <c r="W509" s="28">
        <v>0</v>
      </c>
      <c r="X509" s="2">
        <f t="shared" si="231"/>
        <v>0</v>
      </c>
      <c r="Y509" s="2">
        <v>0</v>
      </c>
      <c r="Z509" s="2">
        <v>0</v>
      </c>
      <c r="AA509" s="2">
        <f t="shared" si="232"/>
        <v>5043.8900000000003</v>
      </c>
      <c r="AB509" s="2">
        <v>5043.8900000000003</v>
      </c>
      <c r="AC509" s="2">
        <v>0</v>
      </c>
      <c r="AD509" s="16">
        <f t="shared" si="227"/>
        <v>252194.59000000003</v>
      </c>
      <c r="AE509" s="2">
        <v>0</v>
      </c>
      <c r="AF509" s="2">
        <f t="shared" si="233"/>
        <v>252194.59000000003</v>
      </c>
      <c r="AG509" s="38" t="s">
        <v>486</v>
      </c>
      <c r="AH509" s="29"/>
      <c r="AI509" s="118">
        <v>20000</v>
      </c>
      <c r="AJ509" s="30">
        <v>0</v>
      </c>
      <c r="AK509" s="179"/>
    </row>
    <row r="510" spans="1:37" s="43" customFormat="1" ht="152.25" customHeight="1" x14ac:dyDescent="0.25">
      <c r="A510" s="6">
        <v>507</v>
      </c>
      <c r="B510" s="31">
        <v>151125</v>
      </c>
      <c r="C510" s="11">
        <v>891</v>
      </c>
      <c r="D510" s="11" t="s">
        <v>1638</v>
      </c>
      <c r="E510" s="24" t="s">
        <v>2255</v>
      </c>
      <c r="F510" s="31" t="s">
        <v>2463</v>
      </c>
      <c r="G510" s="27" t="s">
        <v>2462</v>
      </c>
      <c r="H510" s="8" t="s">
        <v>151</v>
      </c>
      <c r="I510" s="46" t="s">
        <v>2896</v>
      </c>
      <c r="J510" s="25">
        <v>44763</v>
      </c>
      <c r="K510" s="25">
        <v>45190</v>
      </c>
      <c r="L510" s="26">
        <f t="shared" si="228"/>
        <v>83.300001077338706</v>
      </c>
      <c r="M510" s="11">
        <v>3</v>
      </c>
      <c r="N510" s="11" t="s">
        <v>254</v>
      </c>
      <c r="O510" s="11" t="s">
        <v>865</v>
      </c>
      <c r="P510" s="11" t="s">
        <v>274</v>
      </c>
      <c r="Q510" s="11" t="s">
        <v>34</v>
      </c>
      <c r="R510" s="2">
        <f t="shared" si="229"/>
        <v>257476.13</v>
      </c>
      <c r="S510" s="2">
        <v>257476.13</v>
      </c>
      <c r="T510" s="2">
        <v>0</v>
      </c>
      <c r="U510" s="2">
        <f t="shared" si="230"/>
        <v>45436.959999999999</v>
      </c>
      <c r="V510" s="28">
        <v>45436.959999999999</v>
      </c>
      <c r="W510" s="28">
        <v>0</v>
      </c>
      <c r="X510" s="2">
        <f t="shared" si="231"/>
        <v>0</v>
      </c>
      <c r="Y510" s="2">
        <v>0</v>
      </c>
      <c r="Z510" s="2">
        <v>0</v>
      </c>
      <c r="AA510" s="2">
        <f t="shared" si="232"/>
        <v>6181.9</v>
      </c>
      <c r="AB510" s="2">
        <v>6181.9</v>
      </c>
      <c r="AC510" s="2">
        <v>0</v>
      </c>
      <c r="AD510" s="16">
        <f t="shared" si="227"/>
        <v>309094.99000000005</v>
      </c>
      <c r="AE510" s="2">
        <v>0</v>
      </c>
      <c r="AF510" s="2">
        <f t="shared" si="233"/>
        <v>309094.99000000005</v>
      </c>
      <c r="AG510" s="38" t="s">
        <v>486</v>
      </c>
      <c r="AH510" s="29"/>
      <c r="AI510" s="118">
        <v>30291.31</v>
      </c>
      <c r="AJ510" s="30">
        <v>0</v>
      </c>
      <c r="AK510" s="179"/>
    </row>
    <row r="511" spans="1:37" s="43" customFormat="1" ht="152.25" customHeight="1" x14ac:dyDescent="0.25">
      <c r="A511" s="6">
        <v>508</v>
      </c>
      <c r="B511" s="31">
        <v>151132</v>
      </c>
      <c r="C511" s="11">
        <v>903</v>
      </c>
      <c r="D511" s="11" t="s">
        <v>1638</v>
      </c>
      <c r="E511" s="24" t="s">
        <v>2255</v>
      </c>
      <c r="F511" s="31" t="s">
        <v>2465</v>
      </c>
      <c r="G511" s="27" t="s">
        <v>2464</v>
      </c>
      <c r="H511" s="8" t="s">
        <v>151</v>
      </c>
      <c r="I511" s="46" t="s">
        <v>2897</v>
      </c>
      <c r="J511" s="25">
        <v>44764</v>
      </c>
      <c r="K511" s="25">
        <v>45129</v>
      </c>
      <c r="L511" s="26">
        <f t="shared" si="228"/>
        <v>83.299997175832658</v>
      </c>
      <c r="M511" s="11">
        <v>6</v>
      </c>
      <c r="N511" s="11" t="s">
        <v>582</v>
      </c>
      <c r="O511" s="11" t="s">
        <v>582</v>
      </c>
      <c r="P511" s="11" t="s">
        <v>274</v>
      </c>
      <c r="Q511" s="11" t="s">
        <v>34</v>
      </c>
      <c r="R511" s="2">
        <f t="shared" si="229"/>
        <v>353945.02</v>
      </c>
      <c r="S511" s="2">
        <v>353945.02</v>
      </c>
      <c r="T511" s="2">
        <v>0</v>
      </c>
      <c r="U511" s="2">
        <f t="shared" si="230"/>
        <v>62460.9</v>
      </c>
      <c r="V511" s="28">
        <v>62460.9</v>
      </c>
      <c r="W511" s="28">
        <v>0</v>
      </c>
      <c r="X511" s="2">
        <f t="shared" si="231"/>
        <v>0</v>
      </c>
      <c r="Y511" s="2">
        <v>0</v>
      </c>
      <c r="Z511" s="2">
        <v>0</v>
      </c>
      <c r="AA511" s="2">
        <f t="shared" si="232"/>
        <v>8498.08</v>
      </c>
      <c r="AB511" s="2">
        <v>8498.08</v>
      </c>
      <c r="AC511" s="2">
        <v>0</v>
      </c>
      <c r="AD511" s="16">
        <f t="shared" si="227"/>
        <v>424904.00000000006</v>
      </c>
      <c r="AE511" s="2">
        <v>0</v>
      </c>
      <c r="AF511" s="2">
        <f t="shared" si="233"/>
        <v>424904.00000000006</v>
      </c>
      <c r="AG511" s="38" t="s">
        <v>486</v>
      </c>
      <c r="AH511" s="29"/>
      <c r="AI511" s="118">
        <v>42490.400000000001</v>
      </c>
      <c r="AJ511" s="30">
        <v>0</v>
      </c>
      <c r="AK511" s="179"/>
    </row>
    <row r="512" spans="1:37" s="43" customFormat="1" ht="152.25" customHeight="1" x14ac:dyDescent="0.25">
      <c r="A512" s="6">
        <v>509</v>
      </c>
      <c r="B512" s="31">
        <v>151456</v>
      </c>
      <c r="C512" s="11">
        <v>915</v>
      </c>
      <c r="D512" s="11" t="s">
        <v>1638</v>
      </c>
      <c r="E512" s="24" t="s">
        <v>2255</v>
      </c>
      <c r="F512" s="31" t="s">
        <v>2467</v>
      </c>
      <c r="G512" s="27" t="s">
        <v>2466</v>
      </c>
      <c r="H512" s="8" t="s">
        <v>151</v>
      </c>
      <c r="I512" s="46" t="s">
        <v>2898</v>
      </c>
      <c r="J512" s="25">
        <v>44763</v>
      </c>
      <c r="K512" s="25">
        <v>45128</v>
      </c>
      <c r="L512" s="26">
        <f t="shared" si="228"/>
        <v>83.300000000000011</v>
      </c>
      <c r="M512" s="11">
        <v>6</v>
      </c>
      <c r="N512" s="11" t="s">
        <v>182</v>
      </c>
      <c r="O512" s="11" t="s">
        <v>1534</v>
      </c>
      <c r="P512" s="11" t="s">
        <v>274</v>
      </c>
      <c r="Q512" s="11" t="s">
        <v>34</v>
      </c>
      <c r="R512" s="2">
        <f t="shared" si="229"/>
        <v>351984.15</v>
      </c>
      <c r="S512" s="2">
        <v>351984.15</v>
      </c>
      <c r="T512" s="2">
        <v>0</v>
      </c>
      <c r="U512" s="2">
        <f t="shared" si="230"/>
        <v>62114.85</v>
      </c>
      <c r="V512" s="28">
        <v>62114.85</v>
      </c>
      <c r="W512" s="28">
        <v>0</v>
      </c>
      <c r="X512" s="2">
        <f t="shared" si="231"/>
        <v>0</v>
      </c>
      <c r="Y512" s="2">
        <v>0</v>
      </c>
      <c r="Z512" s="2">
        <v>0</v>
      </c>
      <c r="AA512" s="2">
        <f t="shared" si="232"/>
        <v>8451</v>
      </c>
      <c r="AB512" s="2">
        <v>8451</v>
      </c>
      <c r="AC512" s="2">
        <v>0</v>
      </c>
      <c r="AD512" s="16">
        <f t="shared" si="227"/>
        <v>422550</v>
      </c>
      <c r="AE512" s="2">
        <v>0</v>
      </c>
      <c r="AF512" s="2">
        <f t="shared" si="233"/>
        <v>422550</v>
      </c>
      <c r="AG512" s="38" t="s">
        <v>486</v>
      </c>
      <c r="AH512" s="29"/>
      <c r="AI512" s="118">
        <v>42255</v>
      </c>
      <c r="AJ512" s="30">
        <v>0</v>
      </c>
      <c r="AK512" s="179"/>
    </row>
    <row r="513" spans="1:37" s="43" customFormat="1" ht="152.25" customHeight="1" x14ac:dyDescent="0.25">
      <c r="A513" s="6">
        <v>510</v>
      </c>
      <c r="B513" s="31">
        <v>151059</v>
      </c>
      <c r="C513" s="11">
        <v>931</v>
      </c>
      <c r="D513" s="11" t="s">
        <v>1638</v>
      </c>
      <c r="E513" s="24" t="s">
        <v>2255</v>
      </c>
      <c r="F513" s="31" t="s">
        <v>2469</v>
      </c>
      <c r="G513" s="27" t="s">
        <v>2468</v>
      </c>
      <c r="H513" s="8" t="s">
        <v>151</v>
      </c>
      <c r="I513" s="46" t="s">
        <v>2470</v>
      </c>
      <c r="J513" s="25">
        <v>44764</v>
      </c>
      <c r="K513" s="25">
        <v>45129</v>
      </c>
      <c r="L513" s="26">
        <f t="shared" si="228"/>
        <v>83.300001364759183</v>
      </c>
      <c r="M513" s="11">
        <v>5</v>
      </c>
      <c r="N513" s="11" t="s">
        <v>230</v>
      </c>
      <c r="O513" s="11" t="s">
        <v>230</v>
      </c>
      <c r="P513" s="11" t="s">
        <v>274</v>
      </c>
      <c r="Q513" s="11" t="s">
        <v>34</v>
      </c>
      <c r="R513" s="2">
        <f t="shared" si="229"/>
        <v>244145.64</v>
      </c>
      <c r="S513" s="2">
        <v>244145.64</v>
      </c>
      <c r="T513" s="2">
        <v>0</v>
      </c>
      <c r="U513" s="2">
        <f t="shared" si="230"/>
        <v>43084.52</v>
      </c>
      <c r="V513" s="28">
        <v>43084.52</v>
      </c>
      <c r="W513" s="28">
        <v>0</v>
      </c>
      <c r="X513" s="2">
        <f t="shared" si="231"/>
        <v>0</v>
      </c>
      <c r="Y513" s="2">
        <v>0</v>
      </c>
      <c r="Z513" s="2">
        <v>0</v>
      </c>
      <c r="AA513" s="2">
        <f t="shared" si="232"/>
        <v>5861.84</v>
      </c>
      <c r="AB513" s="2">
        <v>5861.84</v>
      </c>
      <c r="AC513" s="2">
        <v>0</v>
      </c>
      <c r="AD513" s="16">
        <f t="shared" si="227"/>
        <v>293092.00000000006</v>
      </c>
      <c r="AE513" s="2">
        <v>0</v>
      </c>
      <c r="AF513" s="2">
        <f t="shared" si="233"/>
        <v>293092.00000000006</v>
      </c>
      <c r="AG513" s="38" t="s">
        <v>486</v>
      </c>
      <c r="AH513" s="29"/>
      <c r="AI513" s="118">
        <v>29300</v>
      </c>
      <c r="AJ513" s="30">
        <v>0</v>
      </c>
      <c r="AK513" s="179"/>
    </row>
    <row r="514" spans="1:37" s="43" customFormat="1" ht="152.25" customHeight="1" x14ac:dyDescent="0.25">
      <c r="A514" s="6">
        <v>511</v>
      </c>
      <c r="B514" s="31">
        <v>151573</v>
      </c>
      <c r="C514" s="11">
        <v>953</v>
      </c>
      <c r="D514" s="11" t="s">
        <v>1638</v>
      </c>
      <c r="E514" s="24" t="s">
        <v>2255</v>
      </c>
      <c r="F514" s="31" t="s">
        <v>2472</v>
      </c>
      <c r="G514" s="27" t="s">
        <v>2471</v>
      </c>
      <c r="H514" s="8" t="s">
        <v>151</v>
      </c>
      <c r="I514" s="46" t="s">
        <v>2474</v>
      </c>
      <c r="J514" s="25">
        <v>44763</v>
      </c>
      <c r="K514" s="25">
        <v>45190</v>
      </c>
      <c r="L514" s="26">
        <f t="shared" si="228"/>
        <v>83.300002193051924</v>
      </c>
      <c r="M514" s="11">
        <v>2</v>
      </c>
      <c r="N514" s="11" t="s">
        <v>280</v>
      </c>
      <c r="O514" s="11" t="s">
        <v>2473</v>
      </c>
      <c r="P514" s="11" t="s">
        <v>274</v>
      </c>
      <c r="Q514" s="11" t="s">
        <v>34</v>
      </c>
      <c r="R514" s="2">
        <f t="shared" si="229"/>
        <v>341852.38</v>
      </c>
      <c r="S514" s="2">
        <v>341852.38</v>
      </c>
      <c r="T514" s="2">
        <v>0</v>
      </c>
      <c r="U514" s="2">
        <f t="shared" si="230"/>
        <v>60326.879999999997</v>
      </c>
      <c r="V514" s="28">
        <v>60326.879999999997</v>
      </c>
      <c r="W514" s="28">
        <v>0</v>
      </c>
      <c r="X514" s="2">
        <f t="shared" si="231"/>
        <v>0</v>
      </c>
      <c r="Y514" s="2">
        <v>0</v>
      </c>
      <c r="Z514" s="2">
        <v>0</v>
      </c>
      <c r="AA514" s="2">
        <f t="shared" si="232"/>
        <v>8207.74</v>
      </c>
      <c r="AB514" s="2">
        <v>8207.74</v>
      </c>
      <c r="AC514" s="2">
        <v>0</v>
      </c>
      <c r="AD514" s="16">
        <f t="shared" si="227"/>
        <v>410387</v>
      </c>
      <c r="AE514" s="2">
        <v>0</v>
      </c>
      <c r="AF514" s="2">
        <f t="shared" si="233"/>
        <v>410387</v>
      </c>
      <c r="AG514" s="38" t="s">
        <v>486</v>
      </c>
      <c r="AH514" s="29"/>
      <c r="AI514" s="118">
        <v>41038.699999999997</v>
      </c>
      <c r="AJ514" s="30">
        <v>0</v>
      </c>
      <c r="AK514" s="179"/>
    </row>
    <row r="515" spans="1:37" s="43" customFormat="1" ht="152.25" customHeight="1" x14ac:dyDescent="0.25">
      <c r="A515" s="6">
        <v>512</v>
      </c>
      <c r="B515" s="31">
        <v>151016</v>
      </c>
      <c r="C515" s="11">
        <v>1028</v>
      </c>
      <c r="D515" s="11" t="s">
        <v>1638</v>
      </c>
      <c r="E515" s="24" t="s">
        <v>2255</v>
      </c>
      <c r="F515" s="31" t="s">
        <v>2476</v>
      </c>
      <c r="G515" s="27" t="s">
        <v>2475</v>
      </c>
      <c r="H515" s="8" t="s">
        <v>151</v>
      </c>
      <c r="I515" s="46" t="s">
        <v>2899</v>
      </c>
      <c r="J515" s="25">
        <v>44764</v>
      </c>
      <c r="K515" s="25">
        <v>45191</v>
      </c>
      <c r="L515" s="26">
        <f t="shared" si="228"/>
        <v>83.300000000000011</v>
      </c>
      <c r="M515" s="11">
        <v>3</v>
      </c>
      <c r="N515" s="11" t="s">
        <v>254</v>
      </c>
      <c r="O515" s="11" t="s">
        <v>2477</v>
      </c>
      <c r="P515" s="11" t="s">
        <v>274</v>
      </c>
      <c r="Q515" s="11" t="s">
        <v>34</v>
      </c>
      <c r="R515" s="2">
        <f t="shared" si="229"/>
        <v>352767.17</v>
      </c>
      <c r="S515" s="2">
        <v>352767.17</v>
      </c>
      <c r="T515" s="2">
        <v>0</v>
      </c>
      <c r="U515" s="2">
        <f t="shared" si="230"/>
        <v>62253.03</v>
      </c>
      <c r="V515" s="28">
        <v>62253.03</v>
      </c>
      <c r="W515" s="28">
        <v>0</v>
      </c>
      <c r="X515" s="2">
        <f t="shared" si="231"/>
        <v>0</v>
      </c>
      <c r="Y515" s="2">
        <v>0</v>
      </c>
      <c r="Z515" s="2">
        <v>0</v>
      </c>
      <c r="AA515" s="2">
        <f t="shared" si="232"/>
        <v>8469.7999999999993</v>
      </c>
      <c r="AB515" s="2">
        <v>8469.7999999999993</v>
      </c>
      <c r="AC515" s="2">
        <v>0</v>
      </c>
      <c r="AD515" s="16">
        <f t="shared" si="227"/>
        <v>423489.99999999994</v>
      </c>
      <c r="AE515" s="2">
        <v>0</v>
      </c>
      <c r="AF515" s="2">
        <f t="shared" si="233"/>
        <v>423489.99999999994</v>
      </c>
      <c r="AG515" s="38" t="s">
        <v>486</v>
      </c>
      <c r="AH515" s="29"/>
      <c r="AI515" s="118">
        <v>42349</v>
      </c>
      <c r="AJ515" s="30">
        <v>0</v>
      </c>
      <c r="AK515" s="179"/>
    </row>
    <row r="516" spans="1:37" s="43" customFormat="1" ht="152.25" customHeight="1" x14ac:dyDescent="0.25">
      <c r="A516" s="6">
        <v>513</v>
      </c>
      <c r="B516" s="31">
        <v>151553</v>
      </c>
      <c r="C516" s="11">
        <v>1069</v>
      </c>
      <c r="D516" s="11" t="s">
        <v>1638</v>
      </c>
      <c r="E516" s="24" t="s">
        <v>2255</v>
      </c>
      <c r="F516" s="31" t="s">
        <v>2480</v>
      </c>
      <c r="G516" s="27" t="s">
        <v>2479</v>
      </c>
      <c r="H516" s="8" t="s">
        <v>2475</v>
      </c>
      <c r="I516" s="46" t="s">
        <v>2900</v>
      </c>
      <c r="J516" s="25">
        <v>44763</v>
      </c>
      <c r="K516" s="25">
        <v>45190</v>
      </c>
      <c r="L516" s="26">
        <f t="shared" si="228"/>
        <v>83.300000352806663</v>
      </c>
      <c r="M516" s="11">
        <v>4</v>
      </c>
      <c r="N516" s="11" t="s">
        <v>248</v>
      </c>
      <c r="O516" s="11" t="s">
        <v>2478</v>
      </c>
      <c r="P516" s="11" t="s">
        <v>274</v>
      </c>
      <c r="Q516" s="11" t="s">
        <v>34</v>
      </c>
      <c r="R516" s="2">
        <f t="shared" si="229"/>
        <v>344715.71</v>
      </c>
      <c r="S516" s="2">
        <v>344715.71</v>
      </c>
      <c r="T516" s="2">
        <v>0</v>
      </c>
      <c r="U516" s="2">
        <f t="shared" si="230"/>
        <v>60832.18</v>
      </c>
      <c r="V516" s="28">
        <v>60832.18</v>
      </c>
      <c r="W516" s="28">
        <v>0</v>
      </c>
      <c r="X516" s="2">
        <f t="shared" si="231"/>
        <v>0</v>
      </c>
      <c r="Y516" s="2">
        <v>0</v>
      </c>
      <c r="Z516" s="2">
        <v>0</v>
      </c>
      <c r="AA516" s="2">
        <f t="shared" si="232"/>
        <v>8276.49</v>
      </c>
      <c r="AB516" s="2">
        <v>8276.49</v>
      </c>
      <c r="AC516" s="2">
        <v>0</v>
      </c>
      <c r="AD516" s="16">
        <f t="shared" si="227"/>
        <v>413824.38</v>
      </c>
      <c r="AE516" s="2">
        <v>0</v>
      </c>
      <c r="AF516" s="2">
        <f t="shared" si="233"/>
        <v>413824.38</v>
      </c>
      <c r="AG516" s="38" t="s">
        <v>486</v>
      </c>
      <c r="AH516" s="29"/>
      <c r="AI516" s="118">
        <v>41382.43</v>
      </c>
      <c r="AJ516" s="30">
        <v>0</v>
      </c>
      <c r="AK516" s="179"/>
    </row>
    <row r="517" spans="1:37" s="43" customFormat="1" ht="152.25" customHeight="1" x14ac:dyDescent="0.25">
      <c r="A517" s="6">
        <v>514</v>
      </c>
      <c r="B517" s="31">
        <v>150220</v>
      </c>
      <c r="C517" s="11">
        <v>898</v>
      </c>
      <c r="D517" s="11" t="s">
        <v>1638</v>
      </c>
      <c r="E517" s="24" t="s">
        <v>2255</v>
      </c>
      <c r="F517" s="31" t="s">
        <v>2486</v>
      </c>
      <c r="G517" s="27" t="s">
        <v>2485</v>
      </c>
      <c r="H517" s="8" t="s">
        <v>151</v>
      </c>
      <c r="I517" s="46" t="s">
        <v>2488</v>
      </c>
      <c r="J517" s="25">
        <v>44768</v>
      </c>
      <c r="K517" s="25">
        <v>45133</v>
      </c>
      <c r="L517" s="26">
        <f t="shared" si="228"/>
        <v>83.300002220603204</v>
      </c>
      <c r="M517" s="11">
        <v>7</v>
      </c>
      <c r="N517" s="11" t="s">
        <v>194</v>
      </c>
      <c r="O517" s="11" t="s">
        <v>2487</v>
      </c>
      <c r="P517" s="11" t="s">
        <v>274</v>
      </c>
      <c r="Q517" s="11" t="s">
        <v>34</v>
      </c>
      <c r="R517" s="2">
        <f t="shared" si="229"/>
        <v>333484.62</v>
      </c>
      <c r="S517" s="2">
        <v>333484.62</v>
      </c>
      <c r="T517" s="2">
        <v>0</v>
      </c>
      <c r="U517" s="2">
        <f t="shared" si="230"/>
        <v>58850.21</v>
      </c>
      <c r="V517" s="28">
        <v>58850.21</v>
      </c>
      <c r="W517" s="28">
        <v>0</v>
      </c>
      <c r="X517" s="2">
        <f t="shared" si="231"/>
        <v>0</v>
      </c>
      <c r="Y517" s="2">
        <v>0</v>
      </c>
      <c r="Z517" s="2">
        <v>0</v>
      </c>
      <c r="AA517" s="2">
        <f t="shared" si="232"/>
        <v>8006.84</v>
      </c>
      <c r="AB517" s="2">
        <v>8006.84</v>
      </c>
      <c r="AC517" s="2">
        <v>0</v>
      </c>
      <c r="AD517" s="16">
        <f t="shared" ref="AD517:AD580" si="234">R517+U517+X517+AA517</f>
        <v>400341.67000000004</v>
      </c>
      <c r="AE517" s="2">
        <v>0</v>
      </c>
      <c r="AF517" s="2">
        <f t="shared" si="233"/>
        <v>400341.67000000004</v>
      </c>
      <c r="AG517" s="38" t="s">
        <v>486</v>
      </c>
      <c r="AH517" s="29"/>
      <c r="AI517" s="118">
        <v>40000</v>
      </c>
      <c r="AJ517" s="30">
        <v>0</v>
      </c>
      <c r="AK517" s="179"/>
    </row>
    <row r="518" spans="1:37" s="43" customFormat="1" ht="152.25" customHeight="1" x14ac:dyDescent="0.25">
      <c r="A518" s="6">
        <v>515</v>
      </c>
      <c r="B518" s="31">
        <v>151009</v>
      </c>
      <c r="C518" s="11">
        <v>1027</v>
      </c>
      <c r="D518" s="11" t="s">
        <v>1638</v>
      </c>
      <c r="E518" s="24" t="s">
        <v>2255</v>
      </c>
      <c r="F518" s="31" t="s">
        <v>2490</v>
      </c>
      <c r="G518" s="27" t="s">
        <v>2489</v>
      </c>
      <c r="H518" s="8" t="s">
        <v>151</v>
      </c>
      <c r="I518" s="46" t="s">
        <v>2901</v>
      </c>
      <c r="J518" s="25">
        <v>44768</v>
      </c>
      <c r="K518" s="25">
        <v>45195</v>
      </c>
      <c r="L518" s="26">
        <f t="shared" si="228"/>
        <v>83.299998579396231</v>
      </c>
      <c r="M518" s="11" t="s">
        <v>2491</v>
      </c>
      <c r="N518" s="11" t="s">
        <v>2493</v>
      </c>
      <c r="O518" s="11" t="s">
        <v>2492</v>
      </c>
      <c r="P518" s="11" t="s">
        <v>274</v>
      </c>
      <c r="Q518" s="11" t="s">
        <v>34</v>
      </c>
      <c r="R518" s="2">
        <f t="shared" si="229"/>
        <v>213438.82</v>
      </c>
      <c r="S518" s="2">
        <v>213438.82</v>
      </c>
      <c r="T518" s="2">
        <v>0</v>
      </c>
      <c r="U518" s="2">
        <f t="shared" si="230"/>
        <v>37665.67</v>
      </c>
      <c r="V518" s="28">
        <v>37665.67</v>
      </c>
      <c r="W518" s="28">
        <v>0</v>
      </c>
      <c r="X518" s="2">
        <f t="shared" si="231"/>
        <v>0</v>
      </c>
      <c r="Y518" s="2">
        <v>0</v>
      </c>
      <c r="Z518" s="2">
        <v>0</v>
      </c>
      <c r="AA518" s="2">
        <f t="shared" si="232"/>
        <v>5124.59</v>
      </c>
      <c r="AB518" s="2">
        <v>5124.59</v>
      </c>
      <c r="AC518" s="2">
        <v>0</v>
      </c>
      <c r="AD518" s="16">
        <f t="shared" si="234"/>
        <v>256229.08</v>
      </c>
      <c r="AE518" s="2">
        <v>0</v>
      </c>
      <c r="AF518" s="2">
        <f t="shared" si="233"/>
        <v>256229.08</v>
      </c>
      <c r="AG518" s="38" t="s">
        <v>486</v>
      </c>
      <c r="AH518" s="29"/>
      <c r="AI518" s="118">
        <v>25622.9</v>
      </c>
      <c r="AJ518" s="30">
        <v>0</v>
      </c>
      <c r="AK518" s="179"/>
    </row>
    <row r="519" spans="1:37" s="43" customFormat="1" ht="152.25" customHeight="1" x14ac:dyDescent="0.25">
      <c r="A519" s="6">
        <v>516</v>
      </c>
      <c r="B519" s="31">
        <v>151548</v>
      </c>
      <c r="C519" s="11">
        <v>1067</v>
      </c>
      <c r="D519" s="11" t="s">
        <v>1638</v>
      </c>
      <c r="E519" s="24" t="s">
        <v>2255</v>
      </c>
      <c r="F519" s="31" t="s">
        <v>2495</v>
      </c>
      <c r="G519" s="27" t="s">
        <v>2494</v>
      </c>
      <c r="H519" s="11" t="s">
        <v>2496</v>
      </c>
      <c r="I519" s="46" t="s">
        <v>2497</v>
      </c>
      <c r="J519" s="25">
        <v>44768</v>
      </c>
      <c r="K519" s="25">
        <v>45133</v>
      </c>
      <c r="L519" s="26">
        <f t="shared" si="228"/>
        <v>83.299997672751331</v>
      </c>
      <c r="M519" s="11">
        <v>1</v>
      </c>
      <c r="N519" s="11" t="s">
        <v>361</v>
      </c>
      <c r="O519" s="11" t="s">
        <v>361</v>
      </c>
      <c r="P519" s="11" t="s">
        <v>274</v>
      </c>
      <c r="Q519" s="11" t="s">
        <v>34</v>
      </c>
      <c r="R519" s="2">
        <f t="shared" si="229"/>
        <v>353996.11</v>
      </c>
      <c r="S519" s="2">
        <v>353996.11</v>
      </c>
      <c r="T519" s="2">
        <v>0</v>
      </c>
      <c r="U519" s="2">
        <f t="shared" si="230"/>
        <v>62469.91</v>
      </c>
      <c r="V519" s="28">
        <v>62469.91</v>
      </c>
      <c r="W519" s="28">
        <v>0</v>
      </c>
      <c r="X519" s="2">
        <f t="shared" si="231"/>
        <v>0</v>
      </c>
      <c r="Y519" s="2">
        <v>0</v>
      </c>
      <c r="Z519" s="2">
        <v>0</v>
      </c>
      <c r="AA519" s="2">
        <f t="shared" si="232"/>
        <v>8499.31</v>
      </c>
      <c r="AB519" s="2">
        <v>8499.31</v>
      </c>
      <c r="AC519" s="2">
        <v>0</v>
      </c>
      <c r="AD519" s="16">
        <f t="shared" si="234"/>
        <v>424965.33</v>
      </c>
      <c r="AE519" s="2">
        <v>0</v>
      </c>
      <c r="AF519" s="2">
        <f t="shared" si="233"/>
        <v>424965.33</v>
      </c>
      <c r="AG519" s="38" t="s">
        <v>486</v>
      </c>
      <c r="AH519" s="29"/>
      <c r="AI519" s="118">
        <v>42496.53</v>
      </c>
      <c r="AJ519" s="30">
        <v>0</v>
      </c>
      <c r="AK519" s="179"/>
    </row>
    <row r="520" spans="1:37" s="43" customFormat="1" ht="152.25" customHeight="1" x14ac:dyDescent="0.25">
      <c r="A520" s="6">
        <v>517</v>
      </c>
      <c r="B520" s="31">
        <v>150980</v>
      </c>
      <c r="C520" s="11">
        <v>877</v>
      </c>
      <c r="D520" s="11" t="s">
        <v>1638</v>
      </c>
      <c r="E520" s="24" t="s">
        <v>2255</v>
      </c>
      <c r="F520" s="31" t="s">
        <v>2499</v>
      </c>
      <c r="G520" s="27" t="s">
        <v>2498</v>
      </c>
      <c r="H520" s="8" t="s">
        <v>2500</v>
      </c>
      <c r="I520" s="46" t="s">
        <v>2501</v>
      </c>
      <c r="J520" s="25">
        <v>44769</v>
      </c>
      <c r="K520" s="25">
        <v>45196</v>
      </c>
      <c r="L520" s="26">
        <f t="shared" si="228"/>
        <v>83.300000979523077</v>
      </c>
      <c r="M520" s="11">
        <v>2</v>
      </c>
      <c r="N520" s="11" t="s">
        <v>485</v>
      </c>
      <c r="O520" s="11" t="s">
        <v>2022</v>
      </c>
      <c r="P520" s="11" t="s">
        <v>274</v>
      </c>
      <c r="Q520" s="11" t="s">
        <v>34</v>
      </c>
      <c r="R520" s="2">
        <f t="shared" si="229"/>
        <v>340165.55</v>
      </c>
      <c r="S520" s="2">
        <v>340165.55</v>
      </c>
      <c r="T520" s="2">
        <v>0</v>
      </c>
      <c r="U520" s="2">
        <f t="shared" si="230"/>
        <v>60029.21</v>
      </c>
      <c r="V520" s="28">
        <v>60029.21</v>
      </c>
      <c r="W520" s="28">
        <v>0</v>
      </c>
      <c r="X520" s="2">
        <f t="shared" si="231"/>
        <v>0</v>
      </c>
      <c r="Y520" s="2">
        <v>0</v>
      </c>
      <c r="Z520" s="2">
        <v>0</v>
      </c>
      <c r="AA520" s="2">
        <f t="shared" si="232"/>
        <v>8167.24</v>
      </c>
      <c r="AB520" s="2">
        <v>8167.24</v>
      </c>
      <c r="AC520" s="2">
        <v>0</v>
      </c>
      <c r="AD520" s="16">
        <f t="shared" si="234"/>
        <v>408362</v>
      </c>
      <c r="AE520" s="2">
        <v>0</v>
      </c>
      <c r="AF520" s="2">
        <f t="shared" si="233"/>
        <v>408362</v>
      </c>
      <c r="AG520" s="38" t="s">
        <v>486</v>
      </c>
      <c r="AH520" s="29"/>
      <c r="AI520" s="118">
        <v>35046</v>
      </c>
      <c r="AJ520" s="30">
        <v>0</v>
      </c>
      <c r="AK520" s="179"/>
    </row>
    <row r="521" spans="1:37" s="43" customFormat="1" ht="152.25" customHeight="1" x14ac:dyDescent="0.25">
      <c r="A521" s="6">
        <v>518</v>
      </c>
      <c r="B521" s="31">
        <v>151243</v>
      </c>
      <c r="C521" s="11">
        <v>878</v>
      </c>
      <c r="D521" s="11" t="s">
        <v>1638</v>
      </c>
      <c r="E521" s="24" t="s">
        <v>2255</v>
      </c>
      <c r="F521" s="31" t="s">
        <v>2503</v>
      </c>
      <c r="G521" s="27" t="s">
        <v>2502</v>
      </c>
      <c r="H521" s="8" t="s">
        <v>151</v>
      </c>
      <c r="I521" s="46" t="s">
        <v>2902</v>
      </c>
      <c r="J521" s="25">
        <v>44769</v>
      </c>
      <c r="K521" s="25">
        <v>45196</v>
      </c>
      <c r="L521" s="26">
        <f t="shared" si="228"/>
        <v>83.300004749894256</v>
      </c>
      <c r="M521" s="11">
        <v>4</v>
      </c>
      <c r="N521" s="11" t="s">
        <v>248</v>
      </c>
      <c r="O521" s="11" t="s">
        <v>2504</v>
      </c>
      <c r="P521" s="11" t="s">
        <v>274</v>
      </c>
      <c r="Q521" s="11" t="s">
        <v>34</v>
      </c>
      <c r="R521" s="2">
        <f t="shared" si="229"/>
        <v>350043.18</v>
      </c>
      <c r="S521" s="2">
        <v>350043.18</v>
      </c>
      <c r="T521" s="2">
        <v>0</v>
      </c>
      <c r="U521" s="2">
        <f t="shared" si="230"/>
        <v>61772.31</v>
      </c>
      <c r="V521" s="28">
        <v>61772.31</v>
      </c>
      <c r="W521" s="28">
        <v>0</v>
      </c>
      <c r="X521" s="2">
        <f t="shared" si="231"/>
        <v>0</v>
      </c>
      <c r="Y521" s="2">
        <v>0</v>
      </c>
      <c r="Z521" s="2">
        <v>0</v>
      </c>
      <c r="AA521" s="2">
        <f t="shared" si="232"/>
        <v>8404.39</v>
      </c>
      <c r="AB521" s="2">
        <v>8404.39</v>
      </c>
      <c r="AC521" s="2">
        <v>0</v>
      </c>
      <c r="AD521" s="16">
        <f t="shared" si="234"/>
        <v>420219.88</v>
      </c>
      <c r="AE521" s="2">
        <v>0</v>
      </c>
      <c r="AF521" s="2">
        <f t="shared" si="233"/>
        <v>420219.88</v>
      </c>
      <c r="AG521" s="38" t="s">
        <v>486</v>
      </c>
      <c r="AH521" s="29"/>
      <c r="AI521" s="118">
        <v>40000</v>
      </c>
      <c r="AJ521" s="30">
        <v>0</v>
      </c>
      <c r="AK521" s="179"/>
    </row>
    <row r="522" spans="1:37" s="43" customFormat="1" ht="152.25" customHeight="1" x14ac:dyDescent="0.25">
      <c r="A522" s="6">
        <v>519</v>
      </c>
      <c r="B522" s="31">
        <v>151364</v>
      </c>
      <c r="C522" s="11">
        <v>913</v>
      </c>
      <c r="D522" s="11" t="s">
        <v>1638</v>
      </c>
      <c r="E522" s="24" t="s">
        <v>2255</v>
      </c>
      <c r="F522" s="31" t="s">
        <v>2506</v>
      </c>
      <c r="G522" s="27" t="s">
        <v>2505</v>
      </c>
      <c r="H522" s="8" t="s">
        <v>151</v>
      </c>
      <c r="I522" s="46" t="s">
        <v>2507</v>
      </c>
      <c r="J522" s="25">
        <v>44769</v>
      </c>
      <c r="K522" s="25">
        <v>45196</v>
      </c>
      <c r="L522" s="26">
        <f t="shared" si="228"/>
        <v>83.300002128852896</v>
      </c>
      <c r="M522" s="11">
        <v>6</v>
      </c>
      <c r="N522" s="11" t="s">
        <v>182</v>
      </c>
      <c r="O522" s="11" t="s">
        <v>2508</v>
      </c>
      <c r="P522" s="11" t="s">
        <v>274</v>
      </c>
      <c r="Q522" s="11" t="s">
        <v>34</v>
      </c>
      <c r="R522" s="2">
        <f t="shared" ref="R522:R584" si="235">S522+T522</f>
        <v>346683.43</v>
      </c>
      <c r="S522" s="2">
        <v>346683.43</v>
      </c>
      <c r="T522" s="2">
        <v>0</v>
      </c>
      <c r="U522" s="2">
        <f t="shared" ref="U522:U584" si="236">V522+W522</f>
        <v>61179.43</v>
      </c>
      <c r="V522" s="28">
        <v>61179.43</v>
      </c>
      <c r="W522" s="28">
        <v>0</v>
      </c>
      <c r="X522" s="2">
        <f t="shared" ref="X522:X584" si="237">Y522+Z522</f>
        <v>0</v>
      </c>
      <c r="Y522" s="2">
        <v>0</v>
      </c>
      <c r="Z522" s="2">
        <v>0</v>
      </c>
      <c r="AA522" s="2">
        <f t="shared" ref="AA522:AA584" si="238">AB522+AC522</f>
        <v>8323.7199999999993</v>
      </c>
      <c r="AB522" s="2">
        <v>8323.7199999999993</v>
      </c>
      <c r="AC522" s="2">
        <v>0</v>
      </c>
      <c r="AD522" s="16">
        <f t="shared" si="234"/>
        <v>416186.57999999996</v>
      </c>
      <c r="AE522" s="2">
        <v>0</v>
      </c>
      <c r="AF522" s="2">
        <f t="shared" ref="AF522:AF584" si="239">AD522+AE522</f>
        <v>416186.57999999996</v>
      </c>
      <c r="AG522" s="38" t="s">
        <v>486</v>
      </c>
      <c r="AH522" s="29"/>
      <c r="AI522" s="118">
        <v>41618.65</v>
      </c>
      <c r="AJ522" s="30">
        <v>0</v>
      </c>
      <c r="AK522" s="179"/>
    </row>
    <row r="523" spans="1:37" s="43" customFormat="1" ht="152.25" customHeight="1" x14ac:dyDescent="0.25">
      <c r="A523" s="6">
        <v>520</v>
      </c>
      <c r="B523" s="31">
        <v>151466</v>
      </c>
      <c r="C523" s="11">
        <v>918</v>
      </c>
      <c r="D523" s="11" t="s">
        <v>1638</v>
      </c>
      <c r="E523" s="24" t="s">
        <v>2255</v>
      </c>
      <c r="F523" s="31" t="s">
        <v>2510</v>
      </c>
      <c r="G523" s="27" t="s">
        <v>2509</v>
      </c>
      <c r="H523" s="11" t="s">
        <v>2511</v>
      </c>
      <c r="I523" s="46" t="s">
        <v>2903</v>
      </c>
      <c r="J523" s="25">
        <v>44769</v>
      </c>
      <c r="K523" s="25">
        <v>45165</v>
      </c>
      <c r="L523" s="26">
        <f t="shared" si="228"/>
        <v>83.300004644812148</v>
      </c>
      <c r="M523" s="11">
        <v>2</v>
      </c>
      <c r="N523" s="11" t="s">
        <v>1917</v>
      </c>
      <c r="O523" s="11" t="s">
        <v>2512</v>
      </c>
      <c r="P523" s="11" t="s">
        <v>274</v>
      </c>
      <c r="Q523" s="11" t="s">
        <v>34</v>
      </c>
      <c r="R523" s="2">
        <f t="shared" si="235"/>
        <v>353299.56</v>
      </c>
      <c r="S523" s="2">
        <v>353299.56</v>
      </c>
      <c r="T523" s="2">
        <v>0</v>
      </c>
      <c r="U523" s="2">
        <f t="shared" si="236"/>
        <v>62346.95</v>
      </c>
      <c r="V523" s="28">
        <v>62346.95</v>
      </c>
      <c r="W523" s="28">
        <v>0</v>
      </c>
      <c r="X523" s="2">
        <f t="shared" si="237"/>
        <v>0</v>
      </c>
      <c r="Y523" s="2">
        <v>0</v>
      </c>
      <c r="Z523" s="2">
        <v>0</v>
      </c>
      <c r="AA523" s="2">
        <f t="shared" si="238"/>
        <v>8482.59</v>
      </c>
      <c r="AB523" s="2">
        <v>8482.59</v>
      </c>
      <c r="AC523" s="2">
        <v>0</v>
      </c>
      <c r="AD523" s="16">
        <f t="shared" si="234"/>
        <v>424129.10000000003</v>
      </c>
      <c r="AE523" s="2">
        <v>0</v>
      </c>
      <c r="AF523" s="2">
        <f t="shared" si="239"/>
        <v>424129.10000000003</v>
      </c>
      <c r="AG523" s="38" t="s">
        <v>486</v>
      </c>
      <c r="AH523" s="29"/>
      <c r="AI523" s="118">
        <v>42412.9</v>
      </c>
      <c r="AJ523" s="30">
        <v>0</v>
      </c>
      <c r="AK523" s="179"/>
    </row>
    <row r="524" spans="1:37" s="43" customFormat="1" ht="152.25" customHeight="1" x14ac:dyDescent="0.25">
      <c r="A524" s="6">
        <v>521</v>
      </c>
      <c r="B524" s="31">
        <v>150693</v>
      </c>
      <c r="C524" s="11">
        <v>926</v>
      </c>
      <c r="D524" s="11" t="s">
        <v>1638</v>
      </c>
      <c r="E524" s="24" t="s">
        <v>2255</v>
      </c>
      <c r="F524" s="31" t="s">
        <v>2514</v>
      </c>
      <c r="G524" s="27" t="s">
        <v>2513</v>
      </c>
      <c r="H524" s="8" t="s">
        <v>151</v>
      </c>
      <c r="I524" s="46" t="s">
        <v>2904</v>
      </c>
      <c r="J524" s="25">
        <v>44769</v>
      </c>
      <c r="K524" s="25">
        <v>45196</v>
      </c>
      <c r="L524" s="26">
        <f t="shared" si="228"/>
        <v>83.300005100806985</v>
      </c>
      <c r="M524" s="11">
        <v>7</v>
      </c>
      <c r="N524" s="11" t="s">
        <v>194</v>
      </c>
      <c r="O524" s="11" t="s">
        <v>194</v>
      </c>
      <c r="P524" s="11" t="s">
        <v>274</v>
      </c>
      <c r="Q524" s="11" t="s">
        <v>34</v>
      </c>
      <c r="R524" s="2">
        <f t="shared" si="235"/>
        <v>300159.19</v>
      </c>
      <c r="S524" s="2">
        <v>300159.19</v>
      </c>
      <c r="T524" s="2">
        <v>0</v>
      </c>
      <c r="U524" s="2">
        <f t="shared" si="236"/>
        <v>52969.25</v>
      </c>
      <c r="V524" s="28">
        <v>52969.25</v>
      </c>
      <c r="W524" s="28">
        <v>0</v>
      </c>
      <c r="X524" s="2">
        <f t="shared" si="237"/>
        <v>0</v>
      </c>
      <c r="Y524" s="2">
        <v>0</v>
      </c>
      <c r="Z524" s="2">
        <v>0</v>
      </c>
      <c r="AA524" s="2">
        <f t="shared" si="238"/>
        <v>7206.7</v>
      </c>
      <c r="AB524" s="2">
        <v>7206.7</v>
      </c>
      <c r="AC524" s="2">
        <v>0</v>
      </c>
      <c r="AD524" s="16">
        <f t="shared" si="234"/>
        <v>360335.14</v>
      </c>
      <c r="AE524" s="2">
        <v>0</v>
      </c>
      <c r="AF524" s="2">
        <f t="shared" si="239"/>
        <v>360335.14</v>
      </c>
      <c r="AG524" s="38" t="s">
        <v>486</v>
      </c>
      <c r="AH524" s="29"/>
      <c r="AI524" s="118">
        <v>36033.51</v>
      </c>
      <c r="AJ524" s="30">
        <v>0</v>
      </c>
      <c r="AK524" s="179"/>
    </row>
    <row r="525" spans="1:37" s="43" customFormat="1" ht="152.25" customHeight="1" x14ac:dyDescent="0.25">
      <c r="A525" s="6">
        <v>522</v>
      </c>
      <c r="B525" s="31">
        <v>151072</v>
      </c>
      <c r="C525" s="11">
        <v>932</v>
      </c>
      <c r="D525" s="11" t="s">
        <v>1638</v>
      </c>
      <c r="E525" s="24" t="s">
        <v>2255</v>
      </c>
      <c r="F525" s="31" t="s">
        <v>2516</v>
      </c>
      <c r="G525" s="27" t="s">
        <v>2515</v>
      </c>
      <c r="H525" s="8" t="s">
        <v>151</v>
      </c>
      <c r="I525" s="46" t="s">
        <v>2905</v>
      </c>
      <c r="J525" s="25">
        <v>44769</v>
      </c>
      <c r="K525" s="25">
        <v>45134</v>
      </c>
      <c r="L525" s="26">
        <f t="shared" si="228"/>
        <v>83.299998602433234</v>
      </c>
      <c r="M525" s="11">
        <v>3</v>
      </c>
      <c r="N525" s="11" t="s">
        <v>254</v>
      </c>
      <c r="O525" s="11" t="s">
        <v>255</v>
      </c>
      <c r="P525" s="11" t="s">
        <v>274</v>
      </c>
      <c r="Q525" s="11" t="s">
        <v>34</v>
      </c>
      <c r="R525" s="2">
        <f t="shared" si="235"/>
        <v>351661.19</v>
      </c>
      <c r="S525" s="2">
        <v>351661.19</v>
      </c>
      <c r="T525" s="2">
        <v>0</v>
      </c>
      <c r="U525" s="2">
        <f t="shared" si="236"/>
        <v>62057.86</v>
      </c>
      <c r="V525" s="28">
        <v>62057.86</v>
      </c>
      <c r="W525" s="28">
        <v>0</v>
      </c>
      <c r="X525" s="2">
        <f t="shared" si="237"/>
        <v>0</v>
      </c>
      <c r="Y525" s="2">
        <v>0</v>
      </c>
      <c r="Z525" s="2">
        <v>0</v>
      </c>
      <c r="AA525" s="2">
        <f t="shared" si="238"/>
        <v>8443.25</v>
      </c>
      <c r="AB525" s="2">
        <v>8443.25</v>
      </c>
      <c r="AC525" s="2">
        <v>0</v>
      </c>
      <c r="AD525" s="16">
        <f t="shared" si="234"/>
        <v>422162.3</v>
      </c>
      <c r="AE525" s="2">
        <v>0</v>
      </c>
      <c r="AF525" s="2">
        <f t="shared" si="239"/>
        <v>422162.3</v>
      </c>
      <c r="AG525" s="38" t="s">
        <v>486</v>
      </c>
      <c r="AH525" s="29"/>
      <c r="AI525" s="118">
        <v>42216.23</v>
      </c>
      <c r="AJ525" s="30">
        <v>0</v>
      </c>
      <c r="AK525" s="179"/>
    </row>
    <row r="526" spans="1:37" s="43" customFormat="1" ht="152.25" customHeight="1" x14ac:dyDescent="0.25">
      <c r="A526" s="6">
        <v>523</v>
      </c>
      <c r="B526" s="31">
        <v>151319</v>
      </c>
      <c r="C526" s="11">
        <v>976</v>
      </c>
      <c r="D526" s="11" t="s">
        <v>1638</v>
      </c>
      <c r="E526" s="24" t="s">
        <v>2255</v>
      </c>
      <c r="F526" s="31" t="s">
        <v>2518</v>
      </c>
      <c r="G526" s="27" t="s">
        <v>2517</v>
      </c>
      <c r="H526" s="8" t="s">
        <v>2519</v>
      </c>
      <c r="I526" s="46" t="s">
        <v>2906</v>
      </c>
      <c r="J526" s="25">
        <v>44769</v>
      </c>
      <c r="K526" s="25">
        <v>45196</v>
      </c>
      <c r="L526" s="26">
        <f t="shared" si="228"/>
        <v>83.299996231077415</v>
      </c>
      <c r="M526" s="11" t="s">
        <v>2520</v>
      </c>
      <c r="N526" s="11" t="s">
        <v>2521</v>
      </c>
      <c r="O526" s="11" t="s">
        <v>2521</v>
      </c>
      <c r="P526" s="11" t="s">
        <v>274</v>
      </c>
      <c r="Q526" s="11" t="s">
        <v>34</v>
      </c>
      <c r="R526" s="2">
        <f t="shared" si="235"/>
        <v>352081.77</v>
      </c>
      <c r="S526" s="2">
        <v>352081.77</v>
      </c>
      <c r="T526" s="2">
        <v>0</v>
      </c>
      <c r="U526" s="2">
        <f t="shared" si="236"/>
        <v>62132.09</v>
      </c>
      <c r="V526" s="28">
        <v>62132.09</v>
      </c>
      <c r="W526" s="28">
        <v>0</v>
      </c>
      <c r="X526" s="2">
        <f t="shared" si="237"/>
        <v>0</v>
      </c>
      <c r="Y526" s="2">
        <v>0</v>
      </c>
      <c r="Z526" s="2">
        <v>0</v>
      </c>
      <c r="AA526" s="2">
        <f t="shared" si="238"/>
        <v>8453.35</v>
      </c>
      <c r="AB526" s="2">
        <v>8453.35</v>
      </c>
      <c r="AC526" s="2">
        <v>0</v>
      </c>
      <c r="AD526" s="16">
        <f t="shared" si="234"/>
        <v>422667.20999999996</v>
      </c>
      <c r="AE526" s="2">
        <v>0</v>
      </c>
      <c r="AF526" s="2">
        <f t="shared" si="239"/>
        <v>422667.20999999996</v>
      </c>
      <c r="AG526" s="38" t="s">
        <v>486</v>
      </c>
      <c r="AH526" s="29"/>
      <c r="AI526" s="118">
        <v>42266</v>
      </c>
      <c r="AJ526" s="30">
        <v>0</v>
      </c>
      <c r="AK526" s="179"/>
    </row>
    <row r="527" spans="1:37" s="43" customFormat="1" ht="152.25" customHeight="1" x14ac:dyDescent="0.25">
      <c r="A527" s="6">
        <v>524</v>
      </c>
      <c r="B527" s="31">
        <v>150960</v>
      </c>
      <c r="C527" s="11">
        <v>987</v>
      </c>
      <c r="D527" s="11" t="s">
        <v>1638</v>
      </c>
      <c r="E527" s="24" t="s">
        <v>2255</v>
      </c>
      <c r="F527" s="31" t="s">
        <v>2523</v>
      </c>
      <c r="G527" s="27" t="s">
        <v>2522</v>
      </c>
      <c r="H527" s="8" t="s">
        <v>151</v>
      </c>
      <c r="I527" s="46" t="s">
        <v>2907</v>
      </c>
      <c r="J527" s="25">
        <v>44769</v>
      </c>
      <c r="K527" s="25">
        <v>45196</v>
      </c>
      <c r="L527" s="26">
        <f t="shared" si="228"/>
        <v>83.300000053132848</v>
      </c>
      <c r="M527" s="11" t="s">
        <v>2524</v>
      </c>
      <c r="N527" s="11" t="s">
        <v>2382</v>
      </c>
      <c r="O527" s="11" t="s">
        <v>2525</v>
      </c>
      <c r="P527" s="11" t="s">
        <v>274</v>
      </c>
      <c r="Q527" s="11" t="s">
        <v>34</v>
      </c>
      <c r="R527" s="2">
        <f t="shared" si="235"/>
        <v>329231.28000000003</v>
      </c>
      <c r="S527" s="2">
        <v>329231.28000000003</v>
      </c>
      <c r="T527" s="2">
        <v>0</v>
      </c>
      <c r="U527" s="2">
        <f t="shared" si="236"/>
        <v>58099.64</v>
      </c>
      <c r="V527" s="28">
        <v>58099.64</v>
      </c>
      <c r="W527" s="28">
        <v>0</v>
      </c>
      <c r="X527" s="2">
        <f t="shared" si="237"/>
        <v>0</v>
      </c>
      <c r="Y527" s="2">
        <v>0</v>
      </c>
      <c r="Z527" s="2">
        <v>0</v>
      </c>
      <c r="AA527" s="2">
        <f t="shared" si="238"/>
        <v>7904.71</v>
      </c>
      <c r="AB527" s="2">
        <v>7904.71</v>
      </c>
      <c r="AC527" s="2">
        <v>0</v>
      </c>
      <c r="AD527" s="16">
        <f t="shared" si="234"/>
        <v>395235.63000000006</v>
      </c>
      <c r="AE527" s="2">
        <v>0</v>
      </c>
      <c r="AF527" s="2">
        <f t="shared" si="239"/>
        <v>395235.63000000006</v>
      </c>
      <c r="AG527" s="38" t="s">
        <v>486</v>
      </c>
      <c r="AH527" s="29"/>
      <c r="AI527" s="118">
        <v>39523.56</v>
      </c>
      <c r="AJ527" s="30">
        <v>0</v>
      </c>
      <c r="AK527" s="179"/>
    </row>
    <row r="528" spans="1:37" s="43" customFormat="1" ht="152.25" customHeight="1" x14ac:dyDescent="0.25">
      <c r="A528" s="6">
        <v>525</v>
      </c>
      <c r="B528" s="31">
        <v>151516</v>
      </c>
      <c r="C528" s="11">
        <v>1001</v>
      </c>
      <c r="D528" s="11" t="s">
        <v>1638</v>
      </c>
      <c r="E528" s="24" t="s">
        <v>2255</v>
      </c>
      <c r="F528" s="31" t="s">
        <v>2527</v>
      </c>
      <c r="G528" s="27" t="s">
        <v>2526</v>
      </c>
      <c r="H528" s="8" t="s">
        <v>151</v>
      </c>
      <c r="I528" s="46" t="s">
        <v>2528</v>
      </c>
      <c r="J528" s="25">
        <v>44769</v>
      </c>
      <c r="K528" s="25">
        <v>45196</v>
      </c>
      <c r="L528" s="26">
        <f t="shared" si="228"/>
        <v>83.300001059138779</v>
      </c>
      <c r="M528" s="11">
        <v>4</v>
      </c>
      <c r="N528" s="11" t="s">
        <v>1568</v>
      </c>
      <c r="O528" s="11" t="s">
        <v>2529</v>
      </c>
      <c r="P528" s="11" t="s">
        <v>274</v>
      </c>
      <c r="Q528" s="11" t="s">
        <v>34</v>
      </c>
      <c r="R528" s="2">
        <f t="shared" si="235"/>
        <v>353919.63</v>
      </c>
      <c r="S528" s="2">
        <v>353919.63</v>
      </c>
      <c r="T528" s="2">
        <v>0</v>
      </c>
      <c r="U528" s="2">
        <f t="shared" si="236"/>
        <v>62456.41</v>
      </c>
      <c r="V528" s="28">
        <v>62456.41</v>
      </c>
      <c r="W528" s="28">
        <v>0</v>
      </c>
      <c r="X528" s="2">
        <f t="shared" si="237"/>
        <v>0</v>
      </c>
      <c r="Y528" s="2">
        <v>0</v>
      </c>
      <c r="Z528" s="2">
        <v>0</v>
      </c>
      <c r="AA528" s="2">
        <f t="shared" si="238"/>
        <v>8497.4599999999991</v>
      </c>
      <c r="AB528" s="2">
        <v>8497.4599999999991</v>
      </c>
      <c r="AC528" s="2">
        <v>0</v>
      </c>
      <c r="AD528" s="16">
        <f t="shared" si="234"/>
        <v>424873.50000000006</v>
      </c>
      <c r="AE528" s="2">
        <v>0</v>
      </c>
      <c r="AF528" s="2">
        <f t="shared" si="239"/>
        <v>424873.50000000006</v>
      </c>
      <c r="AG528" s="38" t="s">
        <v>486</v>
      </c>
      <c r="AH528" s="29"/>
      <c r="AI528" s="118">
        <f>42487</f>
        <v>42487</v>
      </c>
      <c r="AJ528" s="30">
        <v>0</v>
      </c>
      <c r="AK528" s="179"/>
    </row>
    <row r="529" spans="1:37" s="43" customFormat="1" ht="152.25" customHeight="1" x14ac:dyDescent="0.25">
      <c r="A529" s="6">
        <v>526</v>
      </c>
      <c r="B529" s="31">
        <v>151468</v>
      </c>
      <c r="C529" s="11">
        <v>1022</v>
      </c>
      <c r="D529" s="11" t="s">
        <v>1638</v>
      </c>
      <c r="E529" s="24" t="s">
        <v>2255</v>
      </c>
      <c r="F529" s="31" t="s">
        <v>2531</v>
      </c>
      <c r="G529" s="27" t="s">
        <v>2530</v>
      </c>
      <c r="H529" s="11" t="s">
        <v>2532</v>
      </c>
      <c r="I529" s="46" t="s">
        <v>2908</v>
      </c>
      <c r="J529" s="25">
        <v>44769</v>
      </c>
      <c r="K529" s="25">
        <v>45196</v>
      </c>
      <c r="L529" s="26">
        <f t="shared" si="228"/>
        <v>83.300002473139926</v>
      </c>
      <c r="M529" s="11">
        <v>3</v>
      </c>
      <c r="N529" s="11" t="s">
        <v>330</v>
      </c>
      <c r="O529" s="11" t="s">
        <v>2533</v>
      </c>
      <c r="P529" s="11" t="s">
        <v>274</v>
      </c>
      <c r="Q529" s="11" t="s">
        <v>34</v>
      </c>
      <c r="R529" s="2">
        <f t="shared" si="235"/>
        <v>353659.74</v>
      </c>
      <c r="S529" s="2">
        <v>353659.74</v>
      </c>
      <c r="T529" s="2">
        <v>0</v>
      </c>
      <c r="U529" s="2">
        <f t="shared" si="236"/>
        <v>62410.53</v>
      </c>
      <c r="V529" s="28">
        <v>62410.53</v>
      </c>
      <c r="W529" s="28">
        <v>0</v>
      </c>
      <c r="X529" s="2">
        <f t="shared" si="237"/>
        <v>0</v>
      </c>
      <c r="Y529" s="2">
        <v>0</v>
      </c>
      <c r="Z529" s="2">
        <v>0</v>
      </c>
      <c r="AA529" s="2">
        <f t="shared" si="238"/>
        <v>8491.23</v>
      </c>
      <c r="AB529" s="2">
        <v>8491.23</v>
      </c>
      <c r="AC529" s="2">
        <v>0</v>
      </c>
      <c r="AD529" s="16">
        <f t="shared" si="234"/>
        <v>424561.5</v>
      </c>
      <c r="AE529" s="2">
        <v>0</v>
      </c>
      <c r="AF529" s="2">
        <f t="shared" si="239"/>
        <v>424561.5</v>
      </c>
      <c r="AG529" s="38" t="s">
        <v>486</v>
      </c>
      <c r="AH529" s="29"/>
      <c r="AI529" s="118">
        <v>42456</v>
      </c>
      <c r="AJ529" s="30">
        <v>0</v>
      </c>
      <c r="AK529" s="179"/>
    </row>
    <row r="530" spans="1:37" s="43" customFormat="1" ht="152.25" customHeight="1" x14ac:dyDescent="0.25">
      <c r="A530" s="6">
        <v>527</v>
      </c>
      <c r="B530" s="31">
        <v>151549</v>
      </c>
      <c r="C530" s="11">
        <v>1068</v>
      </c>
      <c r="D530" s="11" t="s">
        <v>1638</v>
      </c>
      <c r="E530" s="24" t="s">
        <v>2255</v>
      </c>
      <c r="F530" s="31" t="s">
        <v>2535</v>
      </c>
      <c r="G530" s="27" t="s">
        <v>2534</v>
      </c>
      <c r="H530" s="8" t="s">
        <v>151</v>
      </c>
      <c r="I530" s="46" t="s">
        <v>2909</v>
      </c>
      <c r="J530" s="25">
        <v>44769</v>
      </c>
      <c r="K530" s="25">
        <v>45196</v>
      </c>
      <c r="L530" s="26">
        <f t="shared" si="228"/>
        <v>83.300002011195389</v>
      </c>
      <c r="M530" s="11">
        <v>1</v>
      </c>
      <c r="N530" s="11" t="s">
        <v>185</v>
      </c>
      <c r="O530" s="11" t="s">
        <v>2536</v>
      </c>
      <c r="P530" s="11" t="s">
        <v>274</v>
      </c>
      <c r="Q530" s="11" t="s">
        <v>34</v>
      </c>
      <c r="R530" s="2">
        <f t="shared" si="235"/>
        <v>337143.78</v>
      </c>
      <c r="S530" s="2">
        <v>337143.78</v>
      </c>
      <c r="T530" s="2">
        <v>0</v>
      </c>
      <c r="U530" s="2">
        <f t="shared" si="236"/>
        <v>59495.94</v>
      </c>
      <c r="V530" s="28">
        <v>59495.94</v>
      </c>
      <c r="W530" s="28">
        <v>0</v>
      </c>
      <c r="X530" s="2">
        <f t="shared" si="237"/>
        <v>0</v>
      </c>
      <c r="Y530" s="2">
        <v>0</v>
      </c>
      <c r="Z530" s="2">
        <v>0</v>
      </c>
      <c r="AA530" s="2">
        <f t="shared" si="238"/>
        <v>8094.7</v>
      </c>
      <c r="AB530" s="2">
        <v>8094.7</v>
      </c>
      <c r="AC530" s="2">
        <v>0</v>
      </c>
      <c r="AD530" s="16">
        <f t="shared" si="234"/>
        <v>404734.42000000004</v>
      </c>
      <c r="AE530" s="2">
        <v>0</v>
      </c>
      <c r="AF530" s="2">
        <f t="shared" si="239"/>
        <v>404734.42000000004</v>
      </c>
      <c r="AG530" s="38" t="s">
        <v>486</v>
      </c>
      <c r="AH530" s="29"/>
      <c r="AI530" s="118">
        <v>40473</v>
      </c>
      <c r="AJ530" s="30">
        <v>0</v>
      </c>
      <c r="AK530" s="179"/>
    </row>
    <row r="531" spans="1:37" s="43" customFormat="1" ht="152.25" customHeight="1" x14ac:dyDescent="0.25">
      <c r="A531" s="6">
        <v>528</v>
      </c>
      <c r="B531" s="31">
        <v>151136</v>
      </c>
      <c r="C531" s="11">
        <v>892</v>
      </c>
      <c r="D531" s="11" t="s">
        <v>1638</v>
      </c>
      <c r="E531" s="24" t="s">
        <v>2255</v>
      </c>
      <c r="F531" s="31" t="s">
        <v>2545</v>
      </c>
      <c r="G531" s="27" t="s">
        <v>2544</v>
      </c>
      <c r="H531" s="8" t="s">
        <v>151</v>
      </c>
      <c r="I531" s="46" t="s">
        <v>2910</v>
      </c>
      <c r="J531" s="25">
        <v>44774</v>
      </c>
      <c r="K531" s="25">
        <v>45200</v>
      </c>
      <c r="L531" s="26">
        <f t="shared" si="228"/>
        <v>83.300001244556015</v>
      </c>
      <c r="M531" s="11">
        <v>3</v>
      </c>
      <c r="N531" s="11" t="s">
        <v>240</v>
      </c>
      <c r="O531" s="11" t="s">
        <v>2548</v>
      </c>
      <c r="P531" s="11" t="s">
        <v>274</v>
      </c>
      <c r="Q531" s="11" t="s">
        <v>34</v>
      </c>
      <c r="R531" s="2">
        <f t="shared" si="235"/>
        <v>196778.61</v>
      </c>
      <c r="S531" s="2">
        <v>196778.61</v>
      </c>
      <c r="T531" s="28">
        <v>0</v>
      </c>
      <c r="U531" s="2">
        <f t="shared" si="236"/>
        <v>34725.629999999997</v>
      </c>
      <c r="V531" s="28">
        <v>34725.629999999997</v>
      </c>
      <c r="W531" s="28">
        <v>0</v>
      </c>
      <c r="X531" s="2">
        <f t="shared" si="237"/>
        <v>0</v>
      </c>
      <c r="Y531" s="2">
        <v>0</v>
      </c>
      <c r="Z531" s="2">
        <v>0</v>
      </c>
      <c r="AA531" s="2">
        <f t="shared" si="238"/>
        <v>4724.58</v>
      </c>
      <c r="AB531" s="2">
        <v>4724.58</v>
      </c>
      <c r="AC531" s="2">
        <v>0</v>
      </c>
      <c r="AD531" s="16">
        <f t="shared" si="234"/>
        <v>236228.81999999998</v>
      </c>
      <c r="AE531" s="2">
        <v>0</v>
      </c>
      <c r="AF531" s="2">
        <f t="shared" si="239"/>
        <v>236228.81999999998</v>
      </c>
      <c r="AG531" s="38" t="s">
        <v>486</v>
      </c>
      <c r="AH531" s="29"/>
      <c r="AI531" s="118">
        <v>23622.880000000001</v>
      </c>
      <c r="AJ531" s="30">
        <v>0</v>
      </c>
      <c r="AK531" s="179"/>
    </row>
    <row r="532" spans="1:37" s="43" customFormat="1" ht="152.25" customHeight="1" x14ac:dyDescent="0.25">
      <c r="A532" s="6">
        <v>529</v>
      </c>
      <c r="B532" s="31">
        <v>151461</v>
      </c>
      <c r="C532" s="11">
        <v>916</v>
      </c>
      <c r="D532" s="11" t="s">
        <v>1638</v>
      </c>
      <c r="E532" s="24" t="s">
        <v>2255</v>
      </c>
      <c r="F532" s="31" t="s">
        <v>2547</v>
      </c>
      <c r="G532" s="27" t="s">
        <v>2546</v>
      </c>
      <c r="H532" s="8" t="s">
        <v>151</v>
      </c>
      <c r="I532" s="46" t="s">
        <v>2911</v>
      </c>
      <c r="J532" s="25">
        <v>44774</v>
      </c>
      <c r="K532" s="25">
        <v>45139</v>
      </c>
      <c r="L532" s="26">
        <f t="shared" si="228"/>
        <v>83.300001185016654</v>
      </c>
      <c r="M532" s="11">
        <v>6</v>
      </c>
      <c r="N532" s="11" t="s">
        <v>182</v>
      </c>
      <c r="O532" s="11" t="s">
        <v>394</v>
      </c>
      <c r="P532" s="11" t="s">
        <v>274</v>
      </c>
      <c r="Q532" s="11" t="s">
        <v>34</v>
      </c>
      <c r="R532" s="2">
        <f t="shared" si="235"/>
        <v>351471.86</v>
      </c>
      <c r="S532" s="2">
        <v>351471.86</v>
      </c>
      <c r="T532" s="28">
        <v>0</v>
      </c>
      <c r="U532" s="2">
        <f t="shared" si="236"/>
        <v>62024.44</v>
      </c>
      <c r="V532" s="28">
        <v>62024.44</v>
      </c>
      <c r="W532" s="28">
        <v>0</v>
      </c>
      <c r="X532" s="2">
        <f t="shared" si="237"/>
        <v>0</v>
      </c>
      <c r="Y532" s="2">
        <v>0</v>
      </c>
      <c r="Z532" s="2">
        <v>0</v>
      </c>
      <c r="AA532" s="2">
        <f t="shared" si="238"/>
        <v>8438.7000000000007</v>
      </c>
      <c r="AB532" s="2">
        <v>8438.7000000000007</v>
      </c>
      <c r="AC532" s="2">
        <v>0</v>
      </c>
      <c r="AD532" s="16">
        <f t="shared" si="234"/>
        <v>421935</v>
      </c>
      <c r="AE532" s="2">
        <v>0</v>
      </c>
      <c r="AF532" s="2">
        <f t="shared" si="239"/>
        <v>421935</v>
      </c>
      <c r="AG532" s="38" t="s">
        <v>486</v>
      </c>
      <c r="AH532" s="29"/>
      <c r="AI532" s="118">
        <v>0</v>
      </c>
      <c r="AJ532" s="30">
        <v>0</v>
      </c>
      <c r="AK532" s="179"/>
    </row>
    <row r="533" spans="1:37" s="43" customFormat="1" ht="152.25" customHeight="1" x14ac:dyDescent="0.25">
      <c r="A533" s="6">
        <v>530</v>
      </c>
      <c r="B533" s="31">
        <v>151464</v>
      </c>
      <c r="C533" s="11">
        <v>917</v>
      </c>
      <c r="D533" s="11" t="s">
        <v>1638</v>
      </c>
      <c r="E533" s="24" t="s">
        <v>2255</v>
      </c>
      <c r="F533" s="31" t="s">
        <v>2549</v>
      </c>
      <c r="G533" s="27" t="s">
        <v>1035</v>
      </c>
      <c r="H533" s="8" t="s">
        <v>151</v>
      </c>
      <c r="I533" s="46" t="s">
        <v>2551</v>
      </c>
      <c r="J533" s="25">
        <v>44775</v>
      </c>
      <c r="K533" s="25">
        <v>45201</v>
      </c>
      <c r="L533" s="26">
        <f t="shared" si="228"/>
        <v>83.300000000000011</v>
      </c>
      <c r="M533" s="11">
        <v>4</v>
      </c>
      <c r="N533" s="11" t="s">
        <v>231</v>
      </c>
      <c r="O533" s="11" t="s">
        <v>2550</v>
      </c>
      <c r="P533" s="11" t="s">
        <v>274</v>
      </c>
      <c r="Q533" s="11" t="s">
        <v>34</v>
      </c>
      <c r="R533" s="2">
        <f t="shared" si="235"/>
        <v>342696.2</v>
      </c>
      <c r="S533" s="2">
        <v>342696.2</v>
      </c>
      <c r="T533" s="28">
        <v>0</v>
      </c>
      <c r="U533" s="2">
        <f t="shared" si="236"/>
        <v>60475.8</v>
      </c>
      <c r="V533" s="28">
        <v>60475.8</v>
      </c>
      <c r="W533" s="28">
        <v>0</v>
      </c>
      <c r="X533" s="2">
        <f t="shared" si="237"/>
        <v>0</v>
      </c>
      <c r="Y533" s="2">
        <v>0</v>
      </c>
      <c r="Z533" s="2">
        <v>0</v>
      </c>
      <c r="AA533" s="2">
        <f t="shared" si="238"/>
        <v>8228</v>
      </c>
      <c r="AB533" s="2">
        <v>8228</v>
      </c>
      <c r="AC533" s="2">
        <v>0</v>
      </c>
      <c r="AD533" s="16">
        <f t="shared" si="234"/>
        <v>411400</v>
      </c>
      <c r="AE533" s="2">
        <v>0</v>
      </c>
      <c r="AF533" s="2">
        <f t="shared" si="239"/>
        <v>411400</v>
      </c>
      <c r="AG533" s="38" t="s">
        <v>486</v>
      </c>
      <c r="AH533" s="29"/>
      <c r="AI533" s="118">
        <v>41140</v>
      </c>
      <c r="AJ533" s="30">
        <v>0</v>
      </c>
      <c r="AK533" s="179"/>
    </row>
    <row r="534" spans="1:37" s="43" customFormat="1" ht="152.25" customHeight="1" x14ac:dyDescent="0.25">
      <c r="A534" s="6">
        <v>531</v>
      </c>
      <c r="B534" s="31">
        <v>151526</v>
      </c>
      <c r="C534" s="11">
        <v>920</v>
      </c>
      <c r="D534" s="11" t="s">
        <v>1638</v>
      </c>
      <c r="E534" s="24" t="s">
        <v>2255</v>
      </c>
      <c r="F534" s="31" t="s">
        <v>2553</v>
      </c>
      <c r="G534" s="27" t="s">
        <v>2552</v>
      </c>
      <c r="H534" s="8" t="s">
        <v>151</v>
      </c>
      <c r="I534" s="46" t="s">
        <v>2554</v>
      </c>
      <c r="J534" s="25">
        <v>44774</v>
      </c>
      <c r="K534" s="25">
        <v>45139</v>
      </c>
      <c r="L534" s="26">
        <f t="shared" si="228"/>
        <v>83.300003720798586</v>
      </c>
      <c r="M534" s="11">
        <v>4</v>
      </c>
      <c r="N534" s="11" t="s">
        <v>2555</v>
      </c>
      <c r="O534" s="11" t="s">
        <v>2556</v>
      </c>
      <c r="P534" s="11" t="s">
        <v>274</v>
      </c>
      <c r="Q534" s="11" t="s">
        <v>34</v>
      </c>
      <c r="R534" s="2">
        <f t="shared" si="235"/>
        <v>327755.46000000002</v>
      </c>
      <c r="S534" s="2">
        <v>327755.46000000002</v>
      </c>
      <c r="T534" s="28">
        <v>0</v>
      </c>
      <c r="U534" s="2">
        <f t="shared" si="236"/>
        <v>57839.19</v>
      </c>
      <c r="V534" s="28">
        <v>57839.19</v>
      </c>
      <c r="W534" s="28">
        <v>0</v>
      </c>
      <c r="X534" s="2">
        <f t="shared" si="237"/>
        <v>0</v>
      </c>
      <c r="Y534" s="2">
        <v>0</v>
      </c>
      <c r="Z534" s="2">
        <v>0</v>
      </c>
      <c r="AA534" s="2">
        <f t="shared" si="238"/>
        <v>7869.27</v>
      </c>
      <c r="AB534" s="2">
        <v>7869.27</v>
      </c>
      <c r="AC534" s="2">
        <v>0</v>
      </c>
      <c r="AD534" s="16">
        <f t="shared" si="234"/>
        <v>393463.92000000004</v>
      </c>
      <c r="AE534" s="2">
        <v>0</v>
      </c>
      <c r="AF534" s="2">
        <f t="shared" si="239"/>
        <v>393463.92000000004</v>
      </c>
      <c r="AG534" s="38" t="s">
        <v>486</v>
      </c>
      <c r="AH534" s="29"/>
      <c r="AI534" s="118">
        <v>39346</v>
      </c>
      <c r="AJ534" s="30">
        <v>0</v>
      </c>
      <c r="AK534" s="179"/>
    </row>
    <row r="535" spans="1:37" s="43" customFormat="1" ht="152.25" customHeight="1" x14ac:dyDescent="0.25">
      <c r="A535" s="6">
        <v>532</v>
      </c>
      <c r="B535" s="31">
        <v>151551</v>
      </c>
      <c r="C535" s="11">
        <v>923</v>
      </c>
      <c r="D535" s="11" t="s">
        <v>1638</v>
      </c>
      <c r="E535" s="24" t="s">
        <v>2255</v>
      </c>
      <c r="F535" s="31" t="s">
        <v>2558</v>
      </c>
      <c r="G535" s="27" t="s">
        <v>2557</v>
      </c>
      <c r="H535" s="8" t="s">
        <v>151</v>
      </c>
      <c r="I535" s="46" t="s">
        <v>2559</v>
      </c>
      <c r="J535" s="25">
        <v>44774</v>
      </c>
      <c r="K535" s="25">
        <v>45200</v>
      </c>
      <c r="L535" s="26">
        <f t="shared" si="228"/>
        <v>83.300004010275742</v>
      </c>
      <c r="M535" s="11">
        <v>2</v>
      </c>
      <c r="N535" s="11" t="s">
        <v>280</v>
      </c>
      <c r="O535" s="11" t="s">
        <v>2560</v>
      </c>
      <c r="P535" s="11" t="s">
        <v>274</v>
      </c>
      <c r="Q535" s="11" t="s">
        <v>34</v>
      </c>
      <c r="R535" s="2">
        <f t="shared" si="235"/>
        <v>353117.88</v>
      </c>
      <c r="S535" s="2">
        <v>353117.88</v>
      </c>
      <c r="T535" s="28">
        <v>0</v>
      </c>
      <c r="U535" s="2">
        <f t="shared" si="236"/>
        <v>62314.9</v>
      </c>
      <c r="V535" s="28">
        <v>62314.9</v>
      </c>
      <c r="W535" s="28">
        <v>0</v>
      </c>
      <c r="X535" s="2">
        <f t="shared" si="237"/>
        <v>0</v>
      </c>
      <c r="Y535" s="2">
        <v>0</v>
      </c>
      <c r="Z535" s="2">
        <v>0</v>
      </c>
      <c r="AA535" s="2">
        <f t="shared" si="238"/>
        <v>8478.2199999999993</v>
      </c>
      <c r="AB535" s="2">
        <v>8478.2199999999993</v>
      </c>
      <c r="AC535" s="2">
        <v>0</v>
      </c>
      <c r="AD535" s="16">
        <f t="shared" si="234"/>
        <v>423911</v>
      </c>
      <c r="AE535" s="2">
        <v>0</v>
      </c>
      <c r="AF535" s="2">
        <f t="shared" si="239"/>
        <v>423911</v>
      </c>
      <c r="AG535" s="38" t="s">
        <v>486</v>
      </c>
      <c r="AH535" s="29"/>
      <c r="AI535" s="118">
        <v>42391.1</v>
      </c>
      <c r="AJ535" s="30">
        <v>0</v>
      </c>
      <c r="AK535" s="179"/>
    </row>
    <row r="536" spans="1:37" s="43" customFormat="1" ht="152.25" customHeight="1" x14ac:dyDescent="0.25">
      <c r="A536" s="6">
        <v>533</v>
      </c>
      <c r="B536" s="31">
        <v>151044</v>
      </c>
      <c r="C536" s="11">
        <v>933</v>
      </c>
      <c r="D536" s="11" t="s">
        <v>1638</v>
      </c>
      <c r="E536" s="24" t="s">
        <v>2255</v>
      </c>
      <c r="F536" s="31" t="s">
        <v>2562</v>
      </c>
      <c r="G536" s="27" t="s">
        <v>2561</v>
      </c>
      <c r="H536" s="8" t="s">
        <v>2563</v>
      </c>
      <c r="I536" s="46" t="s">
        <v>2912</v>
      </c>
      <c r="J536" s="25">
        <v>44775</v>
      </c>
      <c r="K536" s="25">
        <v>45140</v>
      </c>
      <c r="L536" s="26">
        <f t="shared" si="228"/>
        <v>83.30000070611662</v>
      </c>
      <c r="M536" s="11">
        <v>1</v>
      </c>
      <c r="N536" s="11" t="s">
        <v>411</v>
      </c>
      <c r="O536" s="11" t="s">
        <v>2564</v>
      </c>
      <c r="P536" s="11" t="s">
        <v>274</v>
      </c>
      <c r="Q536" s="11" t="s">
        <v>34</v>
      </c>
      <c r="R536" s="2">
        <f t="shared" si="235"/>
        <v>353907.55</v>
      </c>
      <c r="S536" s="2">
        <v>353907.55</v>
      </c>
      <c r="T536" s="28">
        <v>0</v>
      </c>
      <c r="U536" s="2">
        <f t="shared" si="236"/>
        <v>62454.27</v>
      </c>
      <c r="V536" s="28">
        <v>62454.27</v>
      </c>
      <c r="W536" s="28">
        <v>0</v>
      </c>
      <c r="X536" s="2">
        <f t="shared" si="237"/>
        <v>0</v>
      </c>
      <c r="Y536" s="2">
        <v>0</v>
      </c>
      <c r="Z536" s="2">
        <v>0</v>
      </c>
      <c r="AA536" s="2">
        <f t="shared" si="238"/>
        <v>8497.18</v>
      </c>
      <c r="AB536" s="2">
        <v>8497.18</v>
      </c>
      <c r="AC536" s="2">
        <v>0</v>
      </c>
      <c r="AD536" s="16">
        <f t="shared" si="234"/>
        <v>424859</v>
      </c>
      <c r="AE536" s="2">
        <v>0</v>
      </c>
      <c r="AF536" s="2">
        <f t="shared" si="239"/>
        <v>424859</v>
      </c>
      <c r="AG536" s="38" t="s">
        <v>486</v>
      </c>
      <c r="AH536" s="29"/>
      <c r="AI536" s="118">
        <v>42485</v>
      </c>
      <c r="AJ536" s="30">
        <v>0</v>
      </c>
      <c r="AK536" s="179"/>
    </row>
    <row r="537" spans="1:37" s="43" customFormat="1" ht="152.25" customHeight="1" x14ac:dyDescent="0.25">
      <c r="A537" s="6">
        <v>534</v>
      </c>
      <c r="B537" s="31">
        <v>151317</v>
      </c>
      <c r="C537" s="11">
        <v>975</v>
      </c>
      <c r="D537" s="11" t="s">
        <v>1638</v>
      </c>
      <c r="E537" s="24" t="s">
        <v>2255</v>
      </c>
      <c r="F537" s="31" t="s">
        <v>2566</v>
      </c>
      <c r="G537" s="27" t="s">
        <v>2565</v>
      </c>
      <c r="H537" s="8" t="s">
        <v>151</v>
      </c>
      <c r="I537" s="46" t="s">
        <v>2913</v>
      </c>
      <c r="J537" s="25">
        <v>44774</v>
      </c>
      <c r="K537" s="25">
        <v>45200</v>
      </c>
      <c r="L537" s="26">
        <f t="shared" si="228"/>
        <v>83.300003503569187</v>
      </c>
      <c r="M537" s="11">
        <v>3</v>
      </c>
      <c r="N537" s="11" t="s">
        <v>330</v>
      </c>
      <c r="O537" s="11" t="s">
        <v>330</v>
      </c>
      <c r="P537" s="11" t="s">
        <v>274</v>
      </c>
      <c r="Q537" s="11" t="s">
        <v>34</v>
      </c>
      <c r="R537" s="2">
        <f t="shared" si="235"/>
        <v>350692.39</v>
      </c>
      <c r="S537" s="2">
        <v>350692.39</v>
      </c>
      <c r="T537" s="28">
        <v>0</v>
      </c>
      <c r="U537" s="2">
        <f t="shared" si="236"/>
        <v>61886.879999999997</v>
      </c>
      <c r="V537" s="28">
        <v>61886.879999999997</v>
      </c>
      <c r="W537" s="28">
        <v>0</v>
      </c>
      <c r="X537" s="2">
        <f t="shared" si="237"/>
        <v>0</v>
      </c>
      <c r="Y537" s="2">
        <v>0</v>
      </c>
      <c r="Z537" s="2">
        <v>0</v>
      </c>
      <c r="AA537" s="2">
        <f t="shared" si="238"/>
        <v>8419.98</v>
      </c>
      <c r="AB537" s="2">
        <v>8419.98</v>
      </c>
      <c r="AC537" s="2">
        <v>0</v>
      </c>
      <c r="AD537" s="16">
        <f t="shared" si="234"/>
        <v>420999.25</v>
      </c>
      <c r="AE537" s="2">
        <v>0</v>
      </c>
      <c r="AF537" s="2">
        <f t="shared" si="239"/>
        <v>420999.25</v>
      </c>
      <c r="AG537" s="38" t="s">
        <v>486</v>
      </c>
      <c r="AH537" s="29"/>
      <c r="AI537" s="118">
        <v>42099.92</v>
      </c>
      <c r="AJ537" s="30">
        <v>0</v>
      </c>
      <c r="AK537" s="179"/>
    </row>
    <row r="538" spans="1:37" s="43" customFormat="1" ht="152.25" customHeight="1" x14ac:dyDescent="0.25">
      <c r="A538" s="6">
        <v>535</v>
      </c>
      <c r="B538" s="31">
        <v>151324</v>
      </c>
      <c r="C538" s="11">
        <v>977</v>
      </c>
      <c r="D538" s="11" t="s">
        <v>1638</v>
      </c>
      <c r="E538" s="24" t="s">
        <v>2255</v>
      </c>
      <c r="F538" s="31" t="s">
        <v>2568</v>
      </c>
      <c r="G538" s="27" t="s">
        <v>2567</v>
      </c>
      <c r="H538" s="8" t="s">
        <v>151</v>
      </c>
      <c r="I538" s="46" t="s">
        <v>2914</v>
      </c>
      <c r="J538" s="25">
        <v>44777</v>
      </c>
      <c r="K538" s="25">
        <v>45142</v>
      </c>
      <c r="L538" s="26">
        <f t="shared" si="228"/>
        <v>83.300001229422534</v>
      </c>
      <c r="M538" s="11">
        <v>5</v>
      </c>
      <c r="N538" s="11" t="s">
        <v>592</v>
      </c>
      <c r="O538" s="11" t="s">
        <v>2569</v>
      </c>
      <c r="P538" s="11" t="s">
        <v>274</v>
      </c>
      <c r="Q538" s="11" t="s">
        <v>34</v>
      </c>
      <c r="R538" s="2">
        <f t="shared" si="235"/>
        <v>338776.94</v>
      </c>
      <c r="S538" s="2">
        <v>338776.94</v>
      </c>
      <c r="T538" s="28">
        <v>0</v>
      </c>
      <c r="U538" s="2">
        <f t="shared" si="236"/>
        <v>59784.160000000003</v>
      </c>
      <c r="V538" s="28">
        <v>59784.160000000003</v>
      </c>
      <c r="W538" s="28">
        <v>0</v>
      </c>
      <c r="X538" s="2">
        <f t="shared" si="237"/>
        <v>0</v>
      </c>
      <c r="Y538" s="2">
        <v>0</v>
      </c>
      <c r="Z538" s="2">
        <v>0</v>
      </c>
      <c r="AA538" s="2">
        <f t="shared" si="238"/>
        <v>8133.9</v>
      </c>
      <c r="AB538" s="2">
        <v>8133.9</v>
      </c>
      <c r="AC538" s="2">
        <v>0</v>
      </c>
      <c r="AD538" s="16">
        <f t="shared" si="234"/>
        <v>406695</v>
      </c>
      <c r="AE538" s="2">
        <v>0</v>
      </c>
      <c r="AF538" s="2">
        <f t="shared" si="239"/>
        <v>406695</v>
      </c>
      <c r="AG538" s="38" t="s">
        <v>486</v>
      </c>
      <c r="AH538" s="29"/>
      <c r="AI538" s="118">
        <f>39856.1</f>
        <v>39856.1</v>
      </c>
      <c r="AJ538" s="30">
        <v>0</v>
      </c>
      <c r="AK538" s="179"/>
    </row>
    <row r="539" spans="1:37" s="43" customFormat="1" ht="152.25" customHeight="1" x14ac:dyDescent="0.25">
      <c r="A539" s="6">
        <v>536</v>
      </c>
      <c r="B539" s="31">
        <v>151106</v>
      </c>
      <c r="C539" s="11">
        <v>986</v>
      </c>
      <c r="D539" s="11" t="s">
        <v>1638</v>
      </c>
      <c r="E539" s="24" t="s">
        <v>2255</v>
      </c>
      <c r="F539" s="31" t="s">
        <v>2571</v>
      </c>
      <c r="G539" s="27" t="s">
        <v>2570</v>
      </c>
      <c r="H539" s="8" t="s">
        <v>151</v>
      </c>
      <c r="I539" s="46" t="s">
        <v>2572</v>
      </c>
      <c r="J539" s="25">
        <v>44775</v>
      </c>
      <c r="K539" s="25">
        <v>45140</v>
      </c>
      <c r="L539" s="26">
        <f t="shared" si="228"/>
        <v>83.300001522444617</v>
      </c>
      <c r="M539" s="11">
        <v>7</v>
      </c>
      <c r="N539" s="11" t="s">
        <v>226</v>
      </c>
      <c r="O539" s="11" t="s">
        <v>226</v>
      </c>
      <c r="P539" s="11" t="s">
        <v>274</v>
      </c>
      <c r="Q539" s="11" t="s">
        <v>34</v>
      </c>
      <c r="R539" s="2">
        <f t="shared" si="235"/>
        <v>354003.69</v>
      </c>
      <c r="S539" s="2">
        <v>354003.69</v>
      </c>
      <c r="T539" s="28">
        <v>0</v>
      </c>
      <c r="U539" s="2">
        <f t="shared" si="236"/>
        <v>62471.23</v>
      </c>
      <c r="V539" s="28">
        <v>62471.23</v>
      </c>
      <c r="W539" s="28">
        <v>0</v>
      </c>
      <c r="X539" s="2">
        <f t="shared" si="237"/>
        <v>0</v>
      </c>
      <c r="Y539" s="2">
        <v>0</v>
      </c>
      <c r="Z539" s="2">
        <v>0</v>
      </c>
      <c r="AA539" s="2">
        <f t="shared" si="238"/>
        <v>8499.49</v>
      </c>
      <c r="AB539" s="2">
        <v>8499.49</v>
      </c>
      <c r="AC539" s="2">
        <v>0</v>
      </c>
      <c r="AD539" s="16">
        <f t="shared" si="234"/>
        <v>424974.41</v>
      </c>
      <c r="AE539" s="2">
        <v>0</v>
      </c>
      <c r="AF539" s="2">
        <f t="shared" si="239"/>
        <v>424974.41</v>
      </c>
      <c r="AG539" s="38" t="s">
        <v>486</v>
      </c>
      <c r="AH539" s="29"/>
      <c r="AI539" s="118">
        <v>42497.440000000002</v>
      </c>
      <c r="AJ539" s="30">
        <v>0</v>
      </c>
      <c r="AK539" s="179"/>
    </row>
    <row r="540" spans="1:37" s="43" customFormat="1" ht="152.25" customHeight="1" x14ac:dyDescent="0.25">
      <c r="A540" s="6">
        <v>537</v>
      </c>
      <c r="B540" s="31">
        <v>151134</v>
      </c>
      <c r="C540" s="11">
        <v>989</v>
      </c>
      <c r="D540" s="11" t="s">
        <v>1638</v>
      </c>
      <c r="E540" s="24" t="s">
        <v>2255</v>
      </c>
      <c r="F540" s="31" t="s">
        <v>2574</v>
      </c>
      <c r="G540" s="27" t="s">
        <v>2573</v>
      </c>
      <c r="H540" s="8" t="s">
        <v>2584</v>
      </c>
      <c r="I540" s="46" t="s">
        <v>2915</v>
      </c>
      <c r="J540" s="25">
        <v>44774</v>
      </c>
      <c r="K540" s="25">
        <v>45139</v>
      </c>
      <c r="L540" s="26">
        <f t="shared" si="228"/>
        <v>83.299997175832658</v>
      </c>
      <c r="M540" s="11" t="s">
        <v>2575</v>
      </c>
      <c r="N540" s="11" t="s">
        <v>2576</v>
      </c>
      <c r="O540" s="11" t="s">
        <v>2577</v>
      </c>
      <c r="P540" s="11" t="s">
        <v>274</v>
      </c>
      <c r="Q540" s="11" t="s">
        <v>34</v>
      </c>
      <c r="R540" s="2">
        <f t="shared" si="235"/>
        <v>353945.02</v>
      </c>
      <c r="S540" s="2">
        <v>353945.02</v>
      </c>
      <c r="T540" s="28">
        <v>0</v>
      </c>
      <c r="U540" s="2">
        <f t="shared" si="236"/>
        <v>62460.9</v>
      </c>
      <c r="V540" s="28">
        <v>62460.9</v>
      </c>
      <c r="W540" s="28">
        <v>0</v>
      </c>
      <c r="X540" s="2">
        <f t="shared" si="237"/>
        <v>0</v>
      </c>
      <c r="Y540" s="2">
        <v>0</v>
      </c>
      <c r="Z540" s="2">
        <v>0</v>
      </c>
      <c r="AA540" s="2">
        <f t="shared" si="238"/>
        <v>8498.08</v>
      </c>
      <c r="AB540" s="2">
        <v>8498.08</v>
      </c>
      <c r="AC540" s="2">
        <v>0</v>
      </c>
      <c r="AD540" s="16">
        <f t="shared" si="234"/>
        <v>424904.00000000006</v>
      </c>
      <c r="AE540" s="2">
        <v>0</v>
      </c>
      <c r="AF540" s="2">
        <f t="shared" si="239"/>
        <v>424904.00000000006</v>
      </c>
      <c r="AG540" s="38" t="s">
        <v>486</v>
      </c>
      <c r="AH540" s="29"/>
      <c r="AI540" s="118">
        <v>42490.400000000001</v>
      </c>
      <c r="AJ540" s="30">
        <v>0</v>
      </c>
      <c r="AK540" s="179"/>
    </row>
    <row r="541" spans="1:37" s="43" customFormat="1" ht="152.25" customHeight="1" x14ac:dyDescent="0.25">
      <c r="A541" s="6">
        <v>538</v>
      </c>
      <c r="B541" s="31">
        <v>151508</v>
      </c>
      <c r="C541" s="11">
        <v>998</v>
      </c>
      <c r="D541" s="11" t="s">
        <v>1638</v>
      </c>
      <c r="E541" s="24" t="s">
        <v>2255</v>
      </c>
      <c r="F541" s="31" t="s">
        <v>2579</v>
      </c>
      <c r="G541" s="27" t="s">
        <v>2578</v>
      </c>
      <c r="H541" s="8" t="s">
        <v>151</v>
      </c>
      <c r="I541" s="46" t="s">
        <v>2916</v>
      </c>
      <c r="J541" s="25">
        <v>44774</v>
      </c>
      <c r="K541" s="25">
        <v>45139</v>
      </c>
      <c r="L541" s="26">
        <f t="shared" si="228"/>
        <v>83.300008123751994</v>
      </c>
      <c r="M541" s="11">
        <v>3</v>
      </c>
      <c r="N541" s="11" t="s">
        <v>254</v>
      </c>
      <c r="O541" s="11" t="s">
        <v>255</v>
      </c>
      <c r="P541" s="11" t="s">
        <v>274</v>
      </c>
      <c r="Q541" s="11" t="s">
        <v>34</v>
      </c>
      <c r="R541" s="2">
        <f t="shared" si="235"/>
        <v>327098.89</v>
      </c>
      <c r="S541" s="2">
        <v>327098.89</v>
      </c>
      <c r="T541" s="28">
        <v>0</v>
      </c>
      <c r="U541" s="2">
        <f t="shared" si="236"/>
        <v>57723.3</v>
      </c>
      <c r="V541" s="28">
        <v>57723.3</v>
      </c>
      <c r="W541" s="28">
        <v>0</v>
      </c>
      <c r="X541" s="2">
        <f t="shared" si="237"/>
        <v>0</v>
      </c>
      <c r="Y541" s="2">
        <v>0</v>
      </c>
      <c r="Z541" s="2">
        <v>0</v>
      </c>
      <c r="AA541" s="2">
        <f t="shared" si="238"/>
        <v>7853.51</v>
      </c>
      <c r="AB541" s="2">
        <v>7853.51</v>
      </c>
      <c r="AC541" s="2">
        <v>0</v>
      </c>
      <c r="AD541" s="16">
        <f t="shared" si="234"/>
        <v>392675.7</v>
      </c>
      <c r="AE541" s="2">
        <v>0</v>
      </c>
      <c r="AF541" s="2">
        <f t="shared" si="239"/>
        <v>392675.7</v>
      </c>
      <c r="AG541" s="38" t="s">
        <v>486</v>
      </c>
      <c r="AH541" s="29"/>
      <c r="AI541" s="118">
        <v>39267</v>
      </c>
      <c r="AJ541" s="30">
        <v>0</v>
      </c>
      <c r="AK541" s="179"/>
    </row>
    <row r="542" spans="1:37" s="43" customFormat="1" ht="152.25" customHeight="1" x14ac:dyDescent="0.25">
      <c r="A542" s="6">
        <v>539</v>
      </c>
      <c r="B542" s="31">
        <v>151469</v>
      </c>
      <c r="C542" s="11">
        <v>1023</v>
      </c>
      <c r="D542" s="11" t="s">
        <v>1638</v>
      </c>
      <c r="E542" s="24" t="s">
        <v>2255</v>
      </c>
      <c r="F542" s="31" t="s">
        <v>2581</v>
      </c>
      <c r="G542" s="27" t="s">
        <v>2580</v>
      </c>
      <c r="H542" s="8" t="s">
        <v>151</v>
      </c>
      <c r="I542" s="46" t="s">
        <v>2917</v>
      </c>
      <c r="J542" s="25">
        <v>44777</v>
      </c>
      <c r="K542" s="25">
        <v>45142</v>
      </c>
      <c r="L542" s="26">
        <f t="shared" si="228"/>
        <v>83.300001478147905</v>
      </c>
      <c r="M542" s="11">
        <v>4</v>
      </c>
      <c r="N542" s="11" t="s">
        <v>268</v>
      </c>
      <c r="O542" s="11" t="s">
        <v>269</v>
      </c>
      <c r="P542" s="11" t="s">
        <v>274</v>
      </c>
      <c r="Q542" s="11" t="s">
        <v>34</v>
      </c>
      <c r="R542" s="2">
        <f t="shared" si="235"/>
        <v>328545.61</v>
      </c>
      <c r="S542" s="2">
        <v>328545.61</v>
      </c>
      <c r="T542" s="28">
        <v>0</v>
      </c>
      <c r="U542" s="2">
        <f t="shared" si="236"/>
        <v>57978.63</v>
      </c>
      <c r="V542" s="28">
        <v>57978.63</v>
      </c>
      <c r="W542" s="28">
        <v>0</v>
      </c>
      <c r="X542" s="2">
        <f t="shared" si="237"/>
        <v>0</v>
      </c>
      <c r="Y542" s="2">
        <v>0</v>
      </c>
      <c r="Z542" s="2">
        <v>0</v>
      </c>
      <c r="AA542" s="2">
        <f t="shared" si="238"/>
        <v>7888.25</v>
      </c>
      <c r="AB542" s="2">
        <v>7888.25</v>
      </c>
      <c r="AC542" s="2">
        <v>0</v>
      </c>
      <c r="AD542" s="16">
        <f t="shared" si="234"/>
        <v>394412.49</v>
      </c>
      <c r="AE542" s="2">
        <v>0</v>
      </c>
      <c r="AF542" s="2">
        <f t="shared" si="239"/>
        <v>394412.49</v>
      </c>
      <c r="AG542" s="38" t="s">
        <v>486</v>
      </c>
      <c r="AH542" s="29"/>
      <c r="AI542" s="118">
        <v>39441</v>
      </c>
      <c r="AJ542" s="30">
        <v>0</v>
      </c>
      <c r="AK542" s="179"/>
    </row>
    <row r="543" spans="1:37" s="43" customFormat="1" ht="152.25" customHeight="1" x14ac:dyDescent="0.25">
      <c r="A543" s="6">
        <v>540</v>
      </c>
      <c r="B543" s="31">
        <v>151472</v>
      </c>
      <c r="C543" s="11">
        <v>1056</v>
      </c>
      <c r="D543" s="11" t="s">
        <v>1638</v>
      </c>
      <c r="E543" s="24" t="s">
        <v>2255</v>
      </c>
      <c r="F543" s="31" t="s">
        <v>2587</v>
      </c>
      <c r="G543" s="27" t="s">
        <v>2586</v>
      </c>
      <c r="H543" s="8" t="s">
        <v>151</v>
      </c>
      <c r="I543" s="46" t="s">
        <v>2918</v>
      </c>
      <c r="J543" s="25">
        <v>44774</v>
      </c>
      <c r="K543" s="25">
        <v>45078</v>
      </c>
      <c r="L543" s="26">
        <f t="shared" si="228"/>
        <v>83.300001176595174</v>
      </c>
      <c r="M543" s="11">
        <v>7</v>
      </c>
      <c r="N543" s="11" t="s">
        <v>263</v>
      </c>
      <c r="O543" s="11" t="s">
        <v>263</v>
      </c>
      <c r="P543" s="11" t="s">
        <v>274</v>
      </c>
      <c r="Q543" s="11" t="s">
        <v>34</v>
      </c>
      <c r="R543" s="2">
        <f t="shared" si="235"/>
        <v>353987.52</v>
      </c>
      <c r="S543" s="2">
        <v>353987.52</v>
      </c>
      <c r="T543" s="28">
        <v>0</v>
      </c>
      <c r="U543" s="2">
        <f t="shared" si="236"/>
        <v>62468.38</v>
      </c>
      <c r="V543" s="28">
        <v>62468.38</v>
      </c>
      <c r="W543" s="28">
        <v>0</v>
      </c>
      <c r="X543" s="2">
        <f t="shared" si="237"/>
        <v>0</v>
      </c>
      <c r="Y543" s="2">
        <v>0</v>
      </c>
      <c r="Z543" s="2">
        <v>0</v>
      </c>
      <c r="AA543" s="2">
        <f t="shared" si="238"/>
        <v>8499.1</v>
      </c>
      <c r="AB543" s="2">
        <v>8499.1</v>
      </c>
      <c r="AC543" s="2">
        <v>0</v>
      </c>
      <c r="AD543" s="16">
        <f t="shared" si="234"/>
        <v>424955</v>
      </c>
      <c r="AE543" s="2">
        <v>0</v>
      </c>
      <c r="AF543" s="2">
        <f t="shared" si="239"/>
        <v>424955</v>
      </c>
      <c r="AG543" s="38" t="s">
        <v>486</v>
      </c>
      <c r="AH543" s="29"/>
      <c r="AI543" s="118">
        <v>0</v>
      </c>
      <c r="AJ543" s="30">
        <v>0</v>
      </c>
      <c r="AK543" s="179"/>
    </row>
    <row r="544" spans="1:37" s="43" customFormat="1" ht="152.25" customHeight="1" x14ac:dyDescent="0.25">
      <c r="A544" s="6">
        <v>541</v>
      </c>
      <c r="B544" s="31">
        <v>151520</v>
      </c>
      <c r="C544" s="11">
        <v>1064</v>
      </c>
      <c r="D544" s="11" t="s">
        <v>1638</v>
      </c>
      <c r="E544" s="24" t="s">
        <v>2255</v>
      </c>
      <c r="F544" s="31" t="s">
        <v>2583</v>
      </c>
      <c r="G544" s="27" t="s">
        <v>2582</v>
      </c>
      <c r="H544" s="8" t="s">
        <v>151</v>
      </c>
      <c r="I544" s="46" t="s">
        <v>2919</v>
      </c>
      <c r="J544" s="25">
        <v>44775</v>
      </c>
      <c r="K544" s="25">
        <v>45201</v>
      </c>
      <c r="L544" s="26">
        <f t="shared" si="228"/>
        <v>83.300003326642226</v>
      </c>
      <c r="M544" s="11">
        <v>1</v>
      </c>
      <c r="N544" s="11" t="s">
        <v>290</v>
      </c>
      <c r="O544" s="11" t="s">
        <v>2585</v>
      </c>
      <c r="P544" s="11" t="s">
        <v>274</v>
      </c>
      <c r="Q544" s="11" t="s">
        <v>34</v>
      </c>
      <c r="R544" s="2">
        <f t="shared" si="235"/>
        <v>342801.23</v>
      </c>
      <c r="S544" s="2">
        <v>342801.23</v>
      </c>
      <c r="T544" s="28">
        <v>0</v>
      </c>
      <c r="U544" s="2">
        <f t="shared" si="236"/>
        <v>60494.34</v>
      </c>
      <c r="V544" s="28">
        <v>60494.34</v>
      </c>
      <c r="W544" s="28">
        <v>0</v>
      </c>
      <c r="X544" s="2">
        <f t="shared" si="237"/>
        <v>0</v>
      </c>
      <c r="Y544" s="2">
        <v>0</v>
      </c>
      <c r="Z544" s="2">
        <v>0</v>
      </c>
      <c r="AA544" s="2">
        <f t="shared" si="238"/>
        <v>8230.5</v>
      </c>
      <c r="AB544" s="2">
        <v>8230.5</v>
      </c>
      <c r="AC544" s="2">
        <v>0</v>
      </c>
      <c r="AD544" s="16">
        <f t="shared" si="234"/>
        <v>411526.06999999995</v>
      </c>
      <c r="AE544" s="2">
        <v>0</v>
      </c>
      <c r="AF544" s="2">
        <f t="shared" si="239"/>
        <v>411526.06999999995</v>
      </c>
      <c r="AG544" s="38" t="s">
        <v>486</v>
      </c>
      <c r="AH544" s="29"/>
      <c r="AI544" s="118">
        <v>0</v>
      </c>
      <c r="AJ544" s="30">
        <v>0</v>
      </c>
      <c r="AK544" s="179"/>
    </row>
    <row r="545" spans="1:37" s="43" customFormat="1" ht="173.25" x14ac:dyDescent="0.25">
      <c r="A545" s="6">
        <v>542</v>
      </c>
      <c r="B545" s="31">
        <v>151550</v>
      </c>
      <c r="C545" s="11">
        <v>922</v>
      </c>
      <c r="D545" s="11" t="s">
        <v>1638</v>
      </c>
      <c r="E545" s="24" t="s">
        <v>2255</v>
      </c>
      <c r="F545" s="31" t="s">
        <v>3059</v>
      </c>
      <c r="G545" s="27" t="s">
        <v>3058</v>
      </c>
      <c r="H545" s="8" t="s">
        <v>151</v>
      </c>
      <c r="I545" s="46" t="s">
        <v>3060</v>
      </c>
      <c r="J545" s="25">
        <v>44777</v>
      </c>
      <c r="K545" s="25">
        <v>45203</v>
      </c>
      <c r="L545" s="26">
        <f t="shared" si="228"/>
        <v>83.300004010275742</v>
      </c>
      <c r="M545" s="11">
        <v>2</v>
      </c>
      <c r="N545" s="11" t="s">
        <v>485</v>
      </c>
      <c r="O545" s="11" t="s">
        <v>2076</v>
      </c>
      <c r="P545" s="11" t="s">
        <v>274</v>
      </c>
      <c r="Q545" s="11" t="s">
        <v>34</v>
      </c>
      <c r="R545" s="2">
        <f t="shared" si="235"/>
        <v>353117.88</v>
      </c>
      <c r="S545" s="2">
        <v>353117.88</v>
      </c>
      <c r="T545" s="28">
        <v>0</v>
      </c>
      <c r="U545" s="2">
        <f t="shared" si="236"/>
        <v>62314.9</v>
      </c>
      <c r="V545" s="28">
        <v>62314.9</v>
      </c>
      <c r="W545" s="2">
        <v>0</v>
      </c>
      <c r="X545" s="2">
        <f t="shared" si="237"/>
        <v>0</v>
      </c>
      <c r="Y545" s="2">
        <v>0</v>
      </c>
      <c r="Z545" s="2">
        <v>0</v>
      </c>
      <c r="AA545" s="2">
        <f t="shared" si="238"/>
        <v>8478.2199999999993</v>
      </c>
      <c r="AB545" s="2">
        <v>8478.2199999999993</v>
      </c>
      <c r="AC545" s="2">
        <v>0</v>
      </c>
      <c r="AD545" s="16">
        <f t="shared" si="234"/>
        <v>423911</v>
      </c>
      <c r="AE545" s="2">
        <v>0</v>
      </c>
      <c r="AF545" s="2">
        <f t="shared" si="239"/>
        <v>423911</v>
      </c>
      <c r="AG545" s="38" t="s">
        <v>486</v>
      </c>
      <c r="AH545" s="29"/>
      <c r="AI545" s="118">
        <v>42391.1</v>
      </c>
      <c r="AJ545" s="30">
        <v>0</v>
      </c>
      <c r="AK545" s="179"/>
    </row>
    <row r="546" spans="1:37" s="43" customFormat="1" ht="236.25" x14ac:dyDescent="0.25">
      <c r="A546" s="6">
        <v>543</v>
      </c>
      <c r="B546" s="31">
        <v>151155</v>
      </c>
      <c r="C546" s="11">
        <v>935</v>
      </c>
      <c r="D546" s="11" t="s">
        <v>1638</v>
      </c>
      <c r="E546" s="24" t="s">
        <v>2255</v>
      </c>
      <c r="F546" s="31" t="s">
        <v>3062</v>
      </c>
      <c r="G546" s="27" t="s">
        <v>3061</v>
      </c>
      <c r="H546" s="11" t="s">
        <v>3063</v>
      </c>
      <c r="I546" s="46" t="s">
        <v>3114</v>
      </c>
      <c r="J546" s="25">
        <v>44781</v>
      </c>
      <c r="K546" s="25">
        <v>45146</v>
      </c>
      <c r="L546" s="26">
        <f t="shared" si="228"/>
        <v>83.30000260556119</v>
      </c>
      <c r="M546" s="11">
        <v>1</v>
      </c>
      <c r="N546" s="11" t="s">
        <v>407</v>
      </c>
      <c r="O546" s="11" t="s">
        <v>3064</v>
      </c>
      <c r="P546" s="11" t="s">
        <v>274</v>
      </c>
      <c r="Q546" s="11" t="s">
        <v>34</v>
      </c>
      <c r="R546" s="2">
        <f t="shared" si="235"/>
        <v>331210.03999999998</v>
      </c>
      <c r="S546" s="2">
        <v>331210.03999999998</v>
      </c>
      <c r="T546" s="28">
        <v>0</v>
      </c>
      <c r="U546" s="2">
        <f t="shared" si="236"/>
        <v>58448.82</v>
      </c>
      <c r="V546" s="28">
        <v>58448.82</v>
      </c>
      <c r="W546" s="2">
        <v>0</v>
      </c>
      <c r="X546" s="2">
        <f t="shared" si="237"/>
        <v>0</v>
      </c>
      <c r="Y546" s="2">
        <v>0</v>
      </c>
      <c r="Z546" s="2">
        <v>0</v>
      </c>
      <c r="AA546" s="2">
        <f t="shared" si="238"/>
        <v>7952.22</v>
      </c>
      <c r="AB546" s="2">
        <v>7952.22</v>
      </c>
      <c r="AC546" s="2">
        <v>0</v>
      </c>
      <c r="AD546" s="16">
        <f t="shared" si="234"/>
        <v>397611.07999999996</v>
      </c>
      <c r="AE546" s="2">
        <v>0</v>
      </c>
      <c r="AF546" s="2">
        <f t="shared" si="239"/>
        <v>397611.07999999996</v>
      </c>
      <c r="AG546" s="38" t="s">
        <v>486</v>
      </c>
      <c r="AH546" s="29"/>
      <c r="AI546" s="118">
        <v>34617.85</v>
      </c>
      <c r="AJ546" s="30">
        <v>0</v>
      </c>
      <c r="AK546" s="179"/>
    </row>
    <row r="547" spans="1:37" s="43" customFormat="1" ht="141.75" x14ac:dyDescent="0.25">
      <c r="A547" s="6">
        <v>544</v>
      </c>
      <c r="B547" s="31">
        <v>151179</v>
      </c>
      <c r="C547" s="11">
        <v>938</v>
      </c>
      <c r="D547" s="11" t="s">
        <v>1638</v>
      </c>
      <c r="E547" s="24" t="s">
        <v>2255</v>
      </c>
      <c r="F547" s="31" t="s">
        <v>3066</v>
      </c>
      <c r="G547" s="27" t="s">
        <v>3065</v>
      </c>
      <c r="H547" s="8" t="s">
        <v>151</v>
      </c>
      <c r="I547" s="46" t="s">
        <v>3115</v>
      </c>
      <c r="J547" s="25">
        <v>44782</v>
      </c>
      <c r="K547" s="25">
        <v>45208</v>
      </c>
      <c r="L547" s="26">
        <f t="shared" si="228"/>
        <v>83.30000113263975</v>
      </c>
      <c r="M547" s="11">
        <v>1</v>
      </c>
      <c r="N547" s="11" t="s">
        <v>407</v>
      </c>
      <c r="O547" s="11" t="s">
        <v>797</v>
      </c>
      <c r="P547" s="11" t="s">
        <v>274</v>
      </c>
      <c r="Q547" s="11" t="s">
        <v>34</v>
      </c>
      <c r="R547" s="2">
        <f t="shared" si="235"/>
        <v>172095.32</v>
      </c>
      <c r="S547" s="2">
        <v>172095.32</v>
      </c>
      <c r="T547" s="28">
        <v>0</v>
      </c>
      <c r="U547" s="2">
        <f t="shared" si="236"/>
        <v>30369.75</v>
      </c>
      <c r="V547" s="28">
        <v>30369.75</v>
      </c>
      <c r="W547" s="2">
        <v>0</v>
      </c>
      <c r="X547" s="2">
        <f t="shared" si="237"/>
        <v>0</v>
      </c>
      <c r="Y547" s="2">
        <v>0</v>
      </c>
      <c r="Z547" s="2">
        <v>0</v>
      </c>
      <c r="AA547" s="2">
        <f t="shared" si="238"/>
        <v>4131.95</v>
      </c>
      <c r="AB547" s="2">
        <v>4131.95</v>
      </c>
      <c r="AC547" s="2">
        <v>0</v>
      </c>
      <c r="AD547" s="16">
        <f t="shared" si="234"/>
        <v>206597.02000000002</v>
      </c>
      <c r="AE547" s="2">
        <v>0</v>
      </c>
      <c r="AF547" s="2">
        <f t="shared" si="239"/>
        <v>206597.02000000002</v>
      </c>
      <c r="AG547" s="38" t="s">
        <v>486</v>
      </c>
      <c r="AH547" s="29"/>
      <c r="AI547" s="118">
        <v>20659.7</v>
      </c>
      <c r="AJ547" s="30">
        <v>0</v>
      </c>
      <c r="AK547" s="179"/>
    </row>
    <row r="548" spans="1:37" s="43" customFormat="1" ht="173.25" x14ac:dyDescent="0.25">
      <c r="A548" s="6">
        <v>545</v>
      </c>
      <c r="B548" s="31">
        <v>151250</v>
      </c>
      <c r="C548" s="11">
        <v>940</v>
      </c>
      <c r="D548" s="11" t="s">
        <v>1638</v>
      </c>
      <c r="E548" s="24" t="s">
        <v>2255</v>
      </c>
      <c r="F548" s="31" t="s">
        <v>3068</v>
      </c>
      <c r="G548" s="27" t="s">
        <v>3067</v>
      </c>
      <c r="H548" s="11" t="s">
        <v>3069</v>
      </c>
      <c r="I548" s="46" t="s">
        <v>3116</v>
      </c>
      <c r="J548" s="25">
        <v>44781</v>
      </c>
      <c r="K548" s="25">
        <v>45207</v>
      </c>
      <c r="L548" s="26">
        <f t="shared" si="228"/>
        <v>83.299998980725618</v>
      </c>
      <c r="M548" s="11">
        <v>2</v>
      </c>
      <c r="N548" s="11" t="s">
        <v>186</v>
      </c>
      <c r="O548" s="11" t="s">
        <v>186</v>
      </c>
      <c r="P548" s="11" t="s">
        <v>274</v>
      </c>
      <c r="Q548" s="11" t="s">
        <v>34</v>
      </c>
      <c r="R548" s="2">
        <f t="shared" si="235"/>
        <v>353868.4</v>
      </c>
      <c r="S548" s="2">
        <v>353868.4</v>
      </c>
      <c r="T548" s="28">
        <v>0</v>
      </c>
      <c r="U548" s="2">
        <f t="shared" si="236"/>
        <v>62447.37</v>
      </c>
      <c r="V548" s="28">
        <v>62447.37</v>
      </c>
      <c r="W548" s="2">
        <v>0</v>
      </c>
      <c r="X548" s="2">
        <f t="shared" si="237"/>
        <v>0</v>
      </c>
      <c r="Y548" s="2">
        <v>0</v>
      </c>
      <c r="Z548" s="2">
        <v>0</v>
      </c>
      <c r="AA548" s="2">
        <f t="shared" si="238"/>
        <v>8496.24</v>
      </c>
      <c r="AB548" s="2">
        <v>8496.24</v>
      </c>
      <c r="AC548" s="2">
        <v>0</v>
      </c>
      <c r="AD548" s="16">
        <f t="shared" si="234"/>
        <v>424812.01</v>
      </c>
      <c r="AE548" s="2">
        <v>0</v>
      </c>
      <c r="AF548" s="2">
        <f t="shared" si="239"/>
        <v>424812.01</v>
      </c>
      <c r="AG548" s="38" t="s">
        <v>486</v>
      </c>
      <c r="AH548" s="29"/>
      <c r="AI548" s="118">
        <v>42481.2</v>
      </c>
      <c r="AJ548" s="30">
        <v>0</v>
      </c>
      <c r="AK548" s="179"/>
    </row>
    <row r="549" spans="1:37" s="43" customFormat="1" ht="173.25" x14ac:dyDescent="0.25">
      <c r="A549" s="6">
        <v>546</v>
      </c>
      <c r="B549" s="31">
        <v>151286</v>
      </c>
      <c r="C549" s="11">
        <v>941</v>
      </c>
      <c r="D549" s="11" t="s">
        <v>1638</v>
      </c>
      <c r="E549" s="24" t="s">
        <v>2255</v>
      </c>
      <c r="F549" s="31" t="s">
        <v>3071</v>
      </c>
      <c r="G549" s="27" t="s">
        <v>3070</v>
      </c>
      <c r="H549" s="8" t="s">
        <v>3072</v>
      </c>
      <c r="I549" s="46" t="s">
        <v>3117</v>
      </c>
      <c r="J549" s="25">
        <v>44782</v>
      </c>
      <c r="K549" s="25">
        <v>45208</v>
      </c>
      <c r="L549" s="26">
        <f t="shared" si="228"/>
        <v>83.300003437285312</v>
      </c>
      <c r="M549" s="11">
        <v>7</v>
      </c>
      <c r="N549" s="11" t="s">
        <v>752</v>
      </c>
      <c r="O549" s="11" t="s">
        <v>3073</v>
      </c>
      <c r="P549" s="11" t="s">
        <v>274</v>
      </c>
      <c r="Q549" s="11" t="s">
        <v>34</v>
      </c>
      <c r="R549" s="2">
        <f t="shared" si="235"/>
        <v>353819.93</v>
      </c>
      <c r="S549" s="2">
        <v>353819.93</v>
      </c>
      <c r="T549" s="28">
        <v>0</v>
      </c>
      <c r="U549" s="2">
        <f t="shared" si="236"/>
        <v>62438.8</v>
      </c>
      <c r="V549" s="28">
        <v>62438.8</v>
      </c>
      <c r="W549" s="2">
        <v>0</v>
      </c>
      <c r="X549" s="2">
        <f t="shared" si="237"/>
        <v>0</v>
      </c>
      <c r="Y549" s="2">
        <v>0</v>
      </c>
      <c r="Z549" s="2">
        <v>0</v>
      </c>
      <c r="AA549" s="2">
        <f t="shared" si="238"/>
        <v>8495.07</v>
      </c>
      <c r="AB549" s="2">
        <v>8495.07</v>
      </c>
      <c r="AC549" s="2">
        <v>0</v>
      </c>
      <c r="AD549" s="16">
        <f t="shared" si="234"/>
        <v>424753.8</v>
      </c>
      <c r="AE549" s="2">
        <v>0</v>
      </c>
      <c r="AF549" s="2">
        <f t="shared" si="239"/>
        <v>424753.8</v>
      </c>
      <c r="AG549" s="38" t="s">
        <v>486</v>
      </c>
      <c r="AH549" s="29"/>
      <c r="AI549" s="118">
        <v>42475.38</v>
      </c>
      <c r="AJ549" s="30">
        <v>0</v>
      </c>
      <c r="AK549" s="179"/>
    </row>
    <row r="550" spans="1:37" s="43" customFormat="1" ht="141.75" x14ac:dyDescent="0.25">
      <c r="A550" s="6">
        <v>547</v>
      </c>
      <c r="B550" s="31">
        <v>151408</v>
      </c>
      <c r="C550" s="11">
        <v>943</v>
      </c>
      <c r="D550" s="11" t="s">
        <v>1638</v>
      </c>
      <c r="E550" s="24" t="s">
        <v>2255</v>
      </c>
      <c r="F550" s="31" t="s">
        <v>3075</v>
      </c>
      <c r="G550" s="27" t="s">
        <v>3074</v>
      </c>
      <c r="H550" s="8" t="s">
        <v>151</v>
      </c>
      <c r="I550" s="46" t="s">
        <v>3076</v>
      </c>
      <c r="J550" s="25">
        <v>44782</v>
      </c>
      <c r="K550" s="25">
        <v>45208</v>
      </c>
      <c r="L550" s="26">
        <f t="shared" si="228"/>
        <v>83.300004010275742</v>
      </c>
      <c r="M550" s="11">
        <v>2</v>
      </c>
      <c r="N550" s="11" t="s">
        <v>280</v>
      </c>
      <c r="O550" s="11" t="s">
        <v>3077</v>
      </c>
      <c r="P550" s="11" t="s">
        <v>274</v>
      </c>
      <c r="Q550" s="11" t="s">
        <v>34</v>
      </c>
      <c r="R550" s="2">
        <f t="shared" si="235"/>
        <v>353117.88</v>
      </c>
      <c r="S550" s="2">
        <v>353117.88</v>
      </c>
      <c r="T550" s="28">
        <v>0</v>
      </c>
      <c r="U550" s="2">
        <f t="shared" si="236"/>
        <v>62314.9</v>
      </c>
      <c r="V550" s="28">
        <v>62314.9</v>
      </c>
      <c r="W550" s="2">
        <v>0</v>
      </c>
      <c r="X550" s="2">
        <f t="shared" si="237"/>
        <v>0</v>
      </c>
      <c r="Y550" s="2">
        <v>0</v>
      </c>
      <c r="Z550" s="2">
        <v>0</v>
      </c>
      <c r="AA550" s="2">
        <f t="shared" si="238"/>
        <v>8478.2199999999993</v>
      </c>
      <c r="AB550" s="2">
        <v>8478.2199999999993</v>
      </c>
      <c r="AC550" s="2">
        <v>0</v>
      </c>
      <c r="AD550" s="16">
        <f t="shared" si="234"/>
        <v>423911</v>
      </c>
      <c r="AE550" s="2">
        <v>0</v>
      </c>
      <c r="AF550" s="2">
        <f t="shared" si="239"/>
        <v>423911</v>
      </c>
      <c r="AG550" s="38" t="s">
        <v>486</v>
      </c>
      <c r="AH550" s="29"/>
      <c r="AI550" s="118">
        <v>42391.1</v>
      </c>
      <c r="AJ550" s="30">
        <v>0</v>
      </c>
      <c r="AK550" s="179"/>
    </row>
    <row r="551" spans="1:37" s="43" customFormat="1" ht="157.5" x14ac:dyDescent="0.25">
      <c r="A551" s="6">
        <v>548</v>
      </c>
      <c r="B551" s="31">
        <v>151439</v>
      </c>
      <c r="C551" s="11">
        <v>946</v>
      </c>
      <c r="D551" s="11" t="s">
        <v>1638</v>
      </c>
      <c r="E551" s="24" t="s">
        <v>2255</v>
      </c>
      <c r="F551" s="31" t="s">
        <v>3079</v>
      </c>
      <c r="G551" s="27" t="s">
        <v>3078</v>
      </c>
      <c r="H551" s="8" t="s">
        <v>151</v>
      </c>
      <c r="I551" s="46" t="s">
        <v>3080</v>
      </c>
      <c r="J551" s="25">
        <v>44782</v>
      </c>
      <c r="K551" s="25">
        <v>45208</v>
      </c>
      <c r="L551" s="26">
        <f t="shared" si="228"/>
        <v>83.299998833853991</v>
      </c>
      <c r="M551" s="11">
        <v>7</v>
      </c>
      <c r="N551" s="11" t="s">
        <v>226</v>
      </c>
      <c r="O551" s="11" t="s">
        <v>226</v>
      </c>
      <c r="P551" s="11" t="s">
        <v>274</v>
      </c>
      <c r="Q551" s="11" t="s">
        <v>34</v>
      </c>
      <c r="R551" s="2">
        <f t="shared" si="235"/>
        <v>321443.45</v>
      </c>
      <c r="S551" s="2">
        <v>321443.45</v>
      </c>
      <c r="T551" s="28">
        <v>0</v>
      </c>
      <c r="U551" s="2">
        <f t="shared" si="236"/>
        <v>56725.32</v>
      </c>
      <c r="V551" s="28">
        <v>56725.32</v>
      </c>
      <c r="W551" s="2">
        <v>0</v>
      </c>
      <c r="X551" s="2">
        <f t="shared" si="237"/>
        <v>0</v>
      </c>
      <c r="Y551" s="2">
        <v>0</v>
      </c>
      <c r="Z551" s="2">
        <v>0</v>
      </c>
      <c r="AA551" s="2">
        <f t="shared" si="238"/>
        <v>7717.73</v>
      </c>
      <c r="AB551" s="2">
        <v>7717.73</v>
      </c>
      <c r="AC551" s="2">
        <v>0</v>
      </c>
      <c r="AD551" s="16">
        <f t="shared" si="234"/>
        <v>385886.5</v>
      </c>
      <c r="AE551" s="2">
        <v>0</v>
      </c>
      <c r="AF551" s="2">
        <f t="shared" si="239"/>
        <v>385886.5</v>
      </c>
      <c r="AG551" s="38" t="s">
        <v>486</v>
      </c>
      <c r="AH551" s="29"/>
      <c r="AI551" s="118">
        <v>0</v>
      </c>
      <c r="AJ551" s="30">
        <v>0</v>
      </c>
      <c r="AK551" s="179"/>
    </row>
    <row r="552" spans="1:37" s="43" customFormat="1" ht="141.75" x14ac:dyDescent="0.25">
      <c r="A552" s="6">
        <v>549</v>
      </c>
      <c r="B552" s="31">
        <v>151557</v>
      </c>
      <c r="C552" s="11">
        <v>1011</v>
      </c>
      <c r="D552" s="11" t="s">
        <v>1638</v>
      </c>
      <c r="E552" s="24" t="s">
        <v>2255</v>
      </c>
      <c r="F552" s="31" t="s">
        <v>3082</v>
      </c>
      <c r="G552" s="27" t="s">
        <v>3081</v>
      </c>
      <c r="H552" s="8" t="s">
        <v>151</v>
      </c>
      <c r="I552" s="46" t="s">
        <v>3118</v>
      </c>
      <c r="J552" s="25">
        <v>44782</v>
      </c>
      <c r="K552" s="25">
        <v>45025</v>
      </c>
      <c r="L552" s="26">
        <f t="shared" si="228"/>
        <v>83.299999206311455</v>
      </c>
      <c r="M552" s="11">
        <v>5</v>
      </c>
      <c r="N552" s="11" t="s">
        <v>592</v>
      </c>
      <c r="O552" s="11" t="s">
        <v>3083</v>
      </c>
      <c r="P552" s="11" t="s">
        <v>274</v>
      </c>
      <c r="Q552" s="11" t="s">
        <v>34</v>
      </c>
      <c r="R552" s="2">
        <f t="shared" si="235"/>
        <v>350543.04</v>
      </c>
      <c r="S552" s="2">
        <v>350543.04</v>
      </c>
      <c r="T552" s="28">
        <v>0</v>
      </c>
      <c r="U552" s="2">
        <f t="shared" si="236"/>
        <v>61860.54</v>
      </c>
      <c r="V552" s="28">
        <v>61860.54</v>
      </c>
      <c r="W552" s="2">
        <v>0</v>
      </c>
      <c r="X552" s="2">
        <f t="shared" si="237"/>
        <v>0</v>
      </c>
      <c r="Y552" s="2">
        <v>0</v>
      </c>
      <c r="Z552" s="2">
        <v>0</v>
      </c>
      <c r="AA552" s="2">
        <f t="shared" si="238"/>
        <v>8416.4</v>
      </c>
      <c r="AB552" s="2">
        <v>8416.4</v>
      </c>
      <c r="AC552" s="2">
        <v>0</v>
      </c>
      <c r="AD552" s="16">
        <f t="shared" si="234"/>
        <v>420819.98</v>
      </c>
      <c r="AE552" s="2">
        <v>0</v>
      </c>
      <c r="AF552" s="2">
        <f t="shared" si="239"/>
        <v>420819.98</v>
      </c>
      <c r="AG552" s="38" t="s">
        <v>486</v>
      </c>
      <c r="AH552" s="29"/>
      <c r="AI552" s="118">
        <v>42081</v>
      </c>
      <c r="AJ552" s="30">
        <v>0</v>
      </c>
      <c r="AK552" s="179"/>
    </row>
    <row r="553" spans="1:37" s="43" customFormat="1" ht="236.25" x14ac:dyDescent="0.25">
      <c r="A553" s="6">
        <v>550</v>
      </c>
      <c r="B553" s="31">
        <v>151437</v>
      </c>
      <c r="C553" s="11">
        <v>1017</v>
      </c>
      <c r="D553" s="11" t="s">
        <v>1638</v>
      </c>
      <c r="E553" s="24" t="s">
        <v>2255</v>
      </c>
      <c r="F553" s="31" t="s">
        <v>3085</v>
      </c>
      <c r="G553" s="27" t="s">
        <v>3084</v>
      </c>
      <c r="H553" s="8" t="s">
        <v>151</v>
      </c>
      <c r="I553" s="46" t="s">
        <v>3119</v>
      </c>
      <c r="J553" s="25">
        <v>44782</v>
      </c>
      <c r="K553" s="25">
        <v>45147</v>
      </c>
      <c r="L553" s="26">
        <f t="shared" si="228"/>
        <v>83.300001399003847</v>
      </c>
      <c r="M553" s="11">
        <v>5</v>
      </c>
      <c r="N553" s="11" t="s">
        <v>285</v>
      </c>
      <c r="O553" s="11" t="s">
        <v>3086</v>
      </c>
      <c r="P553" s="11" t="s">
        <v>274</v>
      </c>
      <c r="Q553" s="11" t="s">
        <v>34</v>
      </c>
      <c r="R553" s="2">
        <f t="shared" si="235"/>
        <v>353681.66</v>
      </c>
      <c r="S553" s="2">
        <v>353681.66</v>
      </c>
      <c r="T553" s="28">
        <v>0</v>
      </c>
      <c r="U553" s="2">
        <f t="shared" si="236"/>
        <v>62414.400000000001</v>
      </c>
      <c r="V553" s="28">
        <v>62414.400000000001</v>
      </c>
      <c r="W553" s="2">
        <v>0</v>
      </c>
      <c r="X553" s="2">
        <f t="shared" si="237"/>
        <v>0</v>
      </c>
      <c r="Y553" s="2">
        <v>0</v>
      </c>
      <c r="Z553" s="2">
        <v>0</v>
      </c>
      <c r="AA553" s="2">
        <f t="shared" si="238"/>
        <v>8491.76</v>
      </c>
      <c r="AB553" s="2">
        <v>8491.76</v>
      </c>
      <c r="AC553" s="2">
        <v>0</v>
      </c>
      <c r="AD553" s="16">
        <f t="shared" si="234"/>
        <v>424587.82</v>
      </c>
      <c r="AE553" s="2">
        <v>0</v>
      </c>
      <c r="AF553" s="2">
        <f t="shared" si="239"/>
        <v>424587.82</v>
      </c>
      <c r="AG553" s="38" t="s">
        <v>486</v>
      </c>
      <c r="AH553" s="29"/>
      <c r="AI553" s="118">
        <v>0</v>
      </c>
      <c r="AJ553" s="30">
        <v>0</v>
      </c>
      <c r="AK553" s="179"/>
    </row>
    <row r="554" spans="1:37" s="43" customFormat="1" ht="141.75" x14ac:dyDescent="0.25">
      <c r="A554" s="6">
        <v>551</v>
      </c>
      <c r="B554" s="31">
        <v>151465</v>
      </c>
      <c r="C554" s="11">
        <v>1020</v>
      </c>
      <c r="D554" s="11" t="s">
        <v>1638</v>
      </c>
      <c r="E554" s="24" t="s">
        <v>2255</v>
      </c>
      <c r="F554" s="31" t="s">
        <v>3088</v>
      </c>
      <c r="G554" s="27" t="s">
        <v>3087</v>
      </c>
      <c r="H554" s="8" t="s">
        <v>151</v>
      </c>
      <c r="I554" s="46" t="s">
        <v>3120</v>
      </c>
      <c r="J554" s="25">
        <v>44782</v>
      </c>
      <c r="K554" s="25">
        <v>45208</v>
      </c>
      <c r="L554" s="26">
        <f t="shared" si="228"/>
        <v>83.300000000000011</v>
      </c>
      <c r="M554" s="11">
        <v>4</v>
      </c>
      <c r="N554" s="11" t="s">
        <v>499</v>
      </c>
      <c r="O554" s="11" t="s">
        <v>746</v>
      </c>
      <c r="P554" s="11" t="s">
        <v>274</v>
      </c>
      <c r="Q554" s="11" t="s">
        <v>34</v>
      </c>
      <c r="R554" s="2">
        <f t="shared" si="235"/>
        <v>342696.2</v>
      </c>
      <c r="S554" s="2">
        <v>342696.2</v>
      </c>
      <c r="T554" s="28">
        <v>0</v>
      </c>
      <c r="U554" s="2">
        <f t="shared" si="236"/>
        <v>60475.8</v>
      </c>
      <c r="V554" s="28">
        <v>60475.8</v>
      </c>
      <c r="W554" s="2">
        <v>0</v>
      </c>
      <c r="X554" s="2">
        <f t="shared" si="237"/>
        <v>0</v>
      </c>
      <c r="Y554" s="2">
        <v>0</v>
      </c>
      <c r="Z554" s="2">
        <v>0</v>
      </c>
      <c r="AA554" s="2">
        <f t="shared" si="238"/>
        <v>8228</v>
      </c>
      <c r="AB554" s="2">
        <v>8228</v>
      </c>
      <c r="AC554" s="2">
        <v>0</v>
      </c>
      <c r="AD554" s="16">
        <f t="shared" si="234"/>
        <v>411400</v>
      </c>
      <c r="AE554" s="2">
        <v>0</v>
      </c>
      <c r="AF554" s="2">
        <f t="shared" si="239"/>
        <v>411400</v>
      </c>
      <c r="AG554" s="38" t="s">
        <v>486</v>
      </c>
      <c r="AH554" s="29"/>
      <c r="AI554" s="118">
        <v>41140</v>
      </c>
      <c r="AJ554" s="30">
        <v>0</v>
      </c>
      <c r="AK554" s="179"/>
    </row>
    <row r="555" spans="1:37" s="43" customFormat="1" ht="141.75" x14ac:dyDescent="0.25">
      <c r="A555" s="6">
        <v>552</v>
      </c>
      <c r="B555" s="31">
        <v>150925</v>
      </c>
      <c r="C555" s="11">
        <v>883</v>
      </c>
      <c r="D555" s="11" t="s">
        <v>1638</v>
      </c>
      <c r="E555" s="24" t="s">
        <v>2255</v>
      </c>
      <c r="F555" s="31" t="s">
        <v>3094</v>
      </c>
      <c r="G555" s="27" t="s">
        <v>3093</v>
      </c>
      <c r="H555" s="8" t="s">
        <v>151</v>
      </c>
      <c r="I555" s="46" t="s">
        <v>3095</v>
      </c>
      <c r="J555" s="25">
        <v>44785</v>
      </c>
      <c r="K555" s="25">
        <v>45211</v>
      </c>
      <c r="L555" s="26">
        <f t="shared" si="228"/>
        <v>83.300005882352949</v>
      </c>
      <c r="M555" s="11">
        <v>1</v>
      </c>
      <c r="N555" s="11" t="s">
        <v>361</v>
      </c>
      <c r="O555" s="11" t="s">
        <v>3096</v>
      </c>
      <c r="P555" s="11" t="s">
        <v>274</v>
      </c>
      <c r="Q555" s="11" t="s">
        <v>34</v>
      </c>
      <c r="R555" s="2">
        <f t="shared" si="235"/>
        <v>141610.01</v>
      </c>
      <c r="S555" s="2">
        <v>141610.01</v>
      </c>
      <c r="T555" s="28">
        <v>0</v>
      </c>
      <c r="U555" s="2">
        <f t="shared" si="236"/>
        <v>24989.99</v>
      </c>
      <c r="V555" s="28">
        <v>24989.99</v>
      </c>
      <c r="W555" s="2">
        <v>0</v>
      </c>
      <c r="X555" s="2">
        <f t="shared" si="237"/>
        <v>0</v>
      </c>
      <c r="Y555" s="2">
        <v>0</v>
      </c>
      <c r="Z555" s="2">
        <v>0</v>
      </c>
      <c r="AA555" s="2">
        <f t="shared" si="238"/>
        <v>3400</v>
      </c>
      <c r="AB555" s="2">
        <v>3400</v>
      </c>
      <c r="AC555" s="2">
        <v>0</v>
      </c>
      <c r="AD555" s="16">
        <f t="shared" si="234"/>
        <v>170000</v>
      </c>
      <c r="AE555" s="2">
        <v>0</v>
      </c>
      <c r="AF555" s="2">
        <f t="shared" si="239"/>
        <v>170000</v>
      </c>
      <c r="AG555" s="38" t="s">
        <v>486</v>
      </c>
      <c r="AH555" s="29"/>
      <c r="AI555" s="118">
        <v>17000</v>
      </c>
      <c r="AJ555" s="30">
        <v>0</v>
      </c>
      <c r="AK555" s="179"/>
    </row>
    <row r="556" spans="1:37" s="43" customFormat="1" ht="283.5" x14ac:dyDescent="0.25">
      <c r="A556" s="6">
        <v>553</v>
      </c>
      <c r="B556" s="31">
        <v>151169</v>
      </c>
      <c r="C556" s="11">
        <v>937</v>
      </c>
      <c r="D556" s="11" t="s">
        <v>1638</v>
      </c>
      <c r="E556" s="24" t="s">
        <v>2255</v>
      </c>
      <c r="F556" s="31" t="s">
        <v>3098</v>
      </c>
      <c r="G556" s="27" t="s">
        <v>3097</v>
      </c>
      <c r="H556" s="8" t="s">
        <v>151</v>
      </c>
      <c r="I556" s="46" t="s">
        <v>3121</v>
      </c>
      <c r="J556" s="25">
        <v>44784</v>
      </c>
      <c r="K556" s="25">
        <v>45149</v>
      </c>
      <c r="L556" s="26">
        <f t="shared" si="228"/>
        <v>83.300002544322169</v>
      </c>
      <c r="M556" s="11">
        <v>1</v>
      </c>
      <c r="N556" s="11" t="s">
        <v>407</v>
      </c>
      <c r="O556" s="11" t="s">
        <v>3099</v>
      </c>
      <c r="P556" s="11" t="s">
        <v>274</v>
      </c>
      <c r="Q556" s="11" t="s">
        <v>34</v>
      </c>
      <c r="R556" s="2">
        <f t="shared" si="235"/>
        <v>329360.03000000003</v>
      </c>
      <c r="S556" s="2">
        <v>329360.03000000003</v>
      </c>
      <c r="T556" s="28">
        <v>0</v>
      </c>
      <c r="U556" s="2">
        <f t="shared" si="236"/>
        <v>58122.35</v>
      </c>
      <c r="V556" s="28">
        <v>58122.35</v>
      </c>
      <c r="W556" s="2">
        <v>0</v>
      </c>
      <c r="X556" s="2">
        <f t="shared" si="237"/>
        <v>0</v>
      </c>
      <c r="Y556" s="2">
        <v>0</v>
      </c>
      <c r="Z556" s="2">
        <v>0</v>
      </c>
      <c r="AA556" s="2">
        <f t="shared" si="238"/>
        <v>7907.8</v>
      </c>
      <c r="AB556" s="2">
        <v>7907.8</v>
      </c>
      <c r="AC556" s="2">
        <v>0</v>
      </c>
      <c r="AD556" s="16">
        <f t="shared" si="234"/>
        <v>395390.18</v>
      </c>
      <c r="AE556" s="2">
        <v>0</v>
      </c>
      <c r="AF556" s="2">
        <f t="shared" si="239"/>
        <v>395390.18</v>
      </c>
      <c r="AG556" s="38" t="s">
        <v>486</v>
      </c>
      <c r="AH556" s="29"/>
      <c r="AI556" s="118">
        <v>39539.01</v>
      </c>
      <c r="AJ556" s="30">
        <v>0</v>
      </c>
      <c r="AK556" s="179"/>
    </row>
    <row r="557" spans="1:37" s="43" customFormat="1" ht="204.75" x14ac:dyDescent="0.25">
      <c r="A557" s="6">
        <v>554</v>
      </c>
      <c r="B557" s="31">
        <v>151484</v>
      </c>
      <c r="C557" s="11">
        <v>947</v>
      </c>
      <c r="D557" s="11" t="s">
        <v>1638</v>
      </c>
      <c r="E557" s="24" t="s">
        <v>2255</v>
      </c>
      <c r="F557" s="31" t="s">
        <v>3100</v>
      </c>
      <c r="G557" s="27" t="s">
        <v>2351</v>
      </c>
      <c r="H557" s="8" t="s">
        <v>151</v>
      </c>
      <c r="I557" s="46" t="s">
        <v>3122</v>
      </c>
      <c r="J557" s="25">
        <v>44784</v>
      </c>
      <c r="K557" s="25">
        <v>45210</v>
      </c>
      <c r="L557" s="26">
        <f t="shared" si="228"/>
        <v>83.300001737399867</v>
      </c>
      <c r="M557" s="11">
        <v>7</v>
      </c>
      <c r="N557" s="11" t="s">
        <v>752</v>
      </c>
      <c r="O557" s="11" t="s">
        <v>752</v>
      </c>
      <c r="P557" s="11" t="s">
        <v>274</v>
      </c>
      <c r="Q557" s="11" t="s">
        <v>34</v>
      </c>
      <c r="R557" s="2">
        <f t="shared" si="235"/>
        <v>353356.2</v>
      </c>
      <c r="S557" s="2">
        <v>353356.2</v>
      </c>
      <c r="T557" s="28">
        <v>0</v>
      </c>
      <c r="U557" s="2">
        <f t="shared" si="236"/>
        <v>62356.98</v>
      </c>
      <c r="V557" s="28">
        <v>62356.98</v>
      </c>
      <c r="W557" s="2">
        <v>0</v>
      </c>
      <c r="X557" s="2">
        <f t="shared" si="237"/>
        <v>0</v>
      </c>
      <c r="Y557" s="2">
        <v>0</v>
      </c>
      <c r="Z557" s="2">
        <v>0</v>
      </c>
      <c r="AA557" s="2">
        <f t="shared" si="238"/>
        <v>8483.93</v>
      </c>
      <c r="AB557" s="2">
        <v>8483.93</v>
      </c>
      <c r="AC557" s="2">
        <v>0</v>
      </c>
      <c r="AD557" s="16">
        <f t="shared" si="234"/>
        <v>424197.11</v>
      </c>
      <c r="AE557" s="2">
        <v>0</v>
      </c>
      <c r="AF557" s="2">
        <f t="shared" si="239"/>
        <v>424197.11</v>
      </c>
      <c r="AG557" s="38" t="s">
        <v>486</v>
      </c>
      <c r="AH557" s="29"/>
      <c r="AI557" s="118">
        <v>42419.71</v>
      </c>
      <c r="AJ557" s="30">
        <v>0</v>
      </c>
      <c r="AK557" s="179"/>
    </row>
    <row r="558" spans="1:37" s="43" customFormat="1" ht="299.25" x14ac:dyDescent="0.25">
      <c r="A558" s="6">
        <v>555</v>
      </c>
      <c r="B558" s="31">
        <v>151486</v>
      </c>
      <c r="C558" s="11">
        <v>948</v>
      </c>
      <c r="D558" s="11" t="s">
        <v>1638</v>
      </c>
      <c r="E558" s="24" t="s">
        <v>2255</v>
      </c>
      <c r="F558" s="31" t="s">
        <v>3102</v>
      </c>
      <c r="G558" s="27" t="s">
        <v>3101</v>
      </c>
      <c r="H558" s="8" t="s">
        <v>151</v>
      </c>
      <c r="I558" s="46" t="s">
        <v>3123</v>
      </c>
      <c r="J558" s="25">
        <v>44784</v>
      </c>
      <c r="K558" s="25">
        <v>45180</v>
      </c>
      <c r="L558" s="26">
        <f t="shared" si="228"/>
        <v>83.300001970656808</v>
      </c>
      <c r="M558" s="11">
        <v>4</v>
      </c>
      <c r="N558" s="11" t="s">
        <v>499</v>
      </c>
      <c r="O558" s="11" t="s">
        <v>3103</v>
      </c>
      <c r="P558" s="11" t="s">
        <v>274</v>
      </c>
      <c r="Q558" s="11" t="s">
        <v>34</v>
      </c>
      <c r="R558" s="2">
        <f t="shared" si="235"/>
        <v>236290.26</v>
      </c>
      <c r="S558" s="2">
        <v>236290.26</v>
      </c>
      <c r="T558" s="28">
        <v>0</v>
      </c>
      <c r="U558" s="2">
        <f t="shared" si="236"/>
        <v>41698.28</v>
      </c>
      <c r="V558" s="28">
        <v>41698.28</v>
      </c>
      <c r="W558" s="2">
        <v>0</v>
      </c>
      <c r="X558" s="2">
        <f t="shared" si="237"/>
        <v>0</v>
      </c>
      <c r="Y558" s="2">
        <v>0</v>
      </c>
      <c r="Z558" s="2">
        <v>0</v>
      </c>
      <c r="AA558" s="2">
        <f t="shared" si="238"/>
        <v>5673.23</v>
      </c>
      <c r="AB558" s="2">
        <v>5673.23</v>
      </c>
      <c r="AC558" s="2">
        <v>0</v>
      </c>
      <c r="AD558" s="16">
        <f t="shared" si="234"/>
        <v>283661.77</v>
      </c>
      <c r="AE558" s="2">
        <v>0</v>
      </c>
      <c r="AF558" s="2">
        <f t="shared" si="239"/>
        <v>283661.77</v>
      </c>
      <c r="AG558" s="38" t="s">
        <v>486</v>
      </c>
      <c r="AH558" s="29"/>
      <c r="AI558" s="118">
        <v>28366</v>
      </c>
      <c r="AJ558" s="30">
        <v>0</v>
      </c>
      <c r="AK558" s="179"/>
    </row>
    <row r="559" spans="1:37" s="43" customFormat="1" ht="409.5" x14ac:dyDescent="0.25">
      <c r="A559" s="6">
        <v>556</v>
      </c>
      <c r="B559" s="31">
        <v>151020</v>
      </c>
      <c r="C559" s="11">
        <v>1029</v>
      </c>
      <c r="D559" s="11" t="s">
        <v>1638</v>
      </c>
      <c r="E559" s="24" t="s">
        <v>2255</v>
      </c>
      <c r="F559" s="31" t="s">
        <v>3104</v>
      </c>
      <c r="G559" s="27" t="s">
        <v>894</v>
      </c>
      <c r="H559" s="8" t="s">
        <v>151</v>
      </c>
      <c r="I559" s="46" t="s">
        <v>3124</v>
      </c>
      <c r="J559" s="25">
        <v>44784</v>
      </c>
      <c r="K559" s="25">
        <v>45210</v>
      </c>
      <c r="L559" s="26">
        <f t="shared" si="228"/>
        <v>83.299995411457004</v>
      </c>
      <c r="M559" s="11">
        <v>4</v>
      </c>
      <c r="N559" s="11" t="s">
        <v>231</v>
      </c>
      <c r="O559" s="11" t="s">
        <v>3105</v>
      </c>
      <c r="P559" s="11" t="s">
        <v>274</v>
      </c>
      <c r="Q559" s="11" t="s">
        <v>34</v>
      </c>
      <c r="R559" s="2">
        <f t="shared" si="235"/>
        <v>354001.24</v>
      </c>
      <c r="S559" s="2">
        <v>354001.24</v>
      </c>
      <c r="T559" s="28">
        <v>0</v>
      </c>
      <c r="U559" s="2">
        <f t="shared" si="236"/>
        <v>62470.83</v>
      </c>
      <c r="V559" s="28">
        <v>62470.83</v>
      </c>
      <c r="W559" s="2">
        <v>0</v>
      </c>
      <c r="X559" s="2">
        <f t="shared" si="237"/>
        <v>0</v>
      </c>
      <c r="Y559" s="2">
        <v>0</v>
      </c>
      <c r="Z559" s="2">
        <v>0</v>
      </c>
      <c r="AA559" s="2">
        <f t="shared" si="238"/>
        <v>8499.43</v>
      </c>
      <c r="AB559" s="2">
        <v>8499.43</v>
      </c>
      <c r="AC559" s="2">
        <v>0</v>
      </c>
      <c r="AD559" s="16">
        <f t="shared" si="234"/>
        <v>424971.5</v>
      </c>
      <c r="AE559" s="2">
        <v>0</v>
      </c>
      <c r="AF559" s="2">
        <f t="shared" si="239"/>
        <v>424971.5</v>
      </c>
      <c r="AG559" s="38" t="s">
        <v>486</v>
      </c>
      <c r="AH559" s="29"/>
      <c r="AI559" s="118">
        <v>42497.15</v>
      </c>
      <c r="AJ559" s="30">
        <v>0</v>
      </c>
      <c r="AK559" s="179"/>
    </row>
    <row r="560" spans="1:37" s="43" customFormat="1" ht="204.75" x14ac:dyDescent="0.25">
      <c r="A560" s="6">
        <v>557</v>
      </c>
      <c r="B560" s="31">
        <v>151358</v>
      </c>
      <c r="C560" s="11">
        <v>1039</v>
      </c>
      <c r="D560" s="11" t="s">
        <v>1638</v>
      </c>
      <c r="E560" s="24" t="s">
        <v>2255</v>
      </c>
      <c r="F560" s="31" t="s">
        <v>3107</v>
      </c>
      <c r="G560" s="27" t="s">
        <v>3106</v>
      </c>
      <c r="H560" s="8" t="s">
        <v>151</v>
      </c>
      <c r="I560" s="46" t="s">
        <v>3125</v>
      </c>
      <c r="J560" s="25">
        <v>44784</v>
      </c>
      <c r="K560" s="25">
        <v>45149</v>
      </c>
      <c r="L560" s="26">
        <f t="shared" si="228"/>
        <v>83.299987794295419</v>
      </c>
      <c r="M560" s="11">
        <v>6</v>
      </c>
      <c r="N560" s="11" t="s">
        <v>182</v>
      </c>
      <c r="O560" s="11" t="s">
        <v>394</v>
      </c>
      <c r="P560" s="11" t="s">
        <v>274</v>
      </c>
      <c r="Q560" s="11" t="s">
        <v>34</v>
      </c>
      <c r="R560" s="2">
        <f t="shared" si="235"/>
        <v>348740.98</v>
      </c>
      <c r="S560" s="2">
        <v>348740.98</v>
      </c>
      <c r="T560" s="28">
        <v>0</v>
      </c>
      <c r="U560" s="2">
        <f t="shared" si="236"/>
        <v>61542.57</v>
      </c>
      <c r="V560" s="28">
        <v>61542.57</v>
      </c>
      <c r="W560" s="2">
        <v>0</v>
      </c>
      <c r="X560" s="2">
        <f t="shared" si="237"/>
        <v>0</v>
      </c>
      <c r="Y560" s="2">
        <v>0</v>
      </c>
      <c r="Z560" s="2">
        <v>0</v>
      </c>
      <c r="AA560" s="2">
        <f t="shared" si="238"/>
        <v>8373.15</v>
      </c>
      <c r="AB560" s="2">
        <v>8373.15</v>
      </c>
      <c r="AC560" s="2">
        <v>0</v>
      </c>
      <c r="AD560" s="16">
        <f t="shared" si="234"/>
        <v>418656.7</v>
      </c>
      <c r="AE560" s="2">
        <v>0</v>
      </c>
      <c r="AF560" s="2">
        <f t="shared" si="239"/>
        <v>418656.7</v>
      </c>
      <c r="AG560" s="38" t="s">
        <v>486</v>
      </c>
      <c r="AH560" s="29"/>
      <c r="AI560" s="118">
        <v>41865.67</v>
      </c>
      <c r="AJ560" s="30">
        <v>0</v>
      </c>
      <c r="AK560" s="179"/>
    </row>
    <row r="561" spans="1:37" s="43" customFormat="1" ht="141.75" x14ac:dyDescent="0.25">
      <c r="A561" s="6">
        <v>558</v>
      </c>
      <c r="B561" s="31">
        <v>151340</v>
      </c>
      <c r="C561" s="11">
        <v>1053</v>
      </c>
      <c r="D561" s="11" t="s">
        <v>1638</v>
      </c>
      <c r="E561" s="24" t="s">
        <v>2255</v>
      </c>
      <c r="F561" s="31" t="s">
        <v>3109</v>
      </c>
      <c r="G561" s="27" t="s">
        <v>3108</v>
      </c>
      <c r="H561" s="8" t="s">
        <v>151</v>
      </c>
      <c r="I561" s="46" t="s">
        <v>3110</v>
      </c>
      <c r="J561" s="25">
        <v>44783</v>
      </c>
      <c r="K561" s="25">
        <v>45026</v>
      </c>
      <c r="L561" s="26">
        <f t="shared" si="228"/>
        <v>83.300002497334248</v>
      </c>
      <c r="M561" s="11">
        <v>3</v>
      </c>
      <c r="N561" s="11" t="s">
        <v>330</v>
      </c>
      <c r="O561" s="11" t="s">
        <v>3111</v>
      </c>
      <c r="P561" s="11" t="s">
        <v>274</v>
      </c>
      <c r="Q561" s="11" t="s">
        <v>34</v>
      </c>
      <c r="R561" s="2">
        <f t="shared" si="235"/>
        <v>352901.91</v>
      </c>
      <c r="S561" s="2">
        <v>352901.91</v>
      </c>
      <c r="T561" s="28">
        <v>0</v>
      </c>
      <c r="U561" s="2">
        <f t="shared" si="236"/>
        <v>62276.800000000003</v>
      </c>
      <c r="V561" s="28">
        <v>62276.800000000003</v>
      </c>
      <c r="W561" s="2">
        <v>0</v>
      </c>
      <c r="X561" s="2">
        <f t="shared" si="237"/>
        <v>0</v>
      </c>
      <c r="Y561" s="2">
        <v>0</v>
      </c>
      <c r="Z561" s="2">
        <v>0</v>
      </c>
      <c r="AA561" s="2">
        <f t="shared" si="238"/>
        <v>8473.0300000000007</v>
      </c>
      <c r="AB561" s="2">
        <v>8473.0300000000007</v>
      </c>
      <c r="AC561" s="2">
        <v>0</v>
      </c>
      <c r="AD561" s="16">
        <f t="shared" si="234"/>
        <v>423651.74</v>
      </c>
      <c r="AE561" s="2">
        <v>0</v>
      </c>
      <c r="AF561" s="2">
        <f t="shared" si="239"/>
        <v>423651.74</v>
      </c>
      <c r="AG561" s="38" t="s">
        <v>486</v>
      </c>
      <c r="AH561" s="29"/>
      <c r="AI561" s="118">
        <v>42365.17</v>
      </c>
      <c r="AJ561" s="30">
        <v>0</v>
      </c>
      <c r="AK561" s="179"/>
    </row>
    <row r="562" spans="1:37" s="43" customFormat="1" ht="141.75" x14ac:dyDescent="0.25">
      <c r="A562" s="6">
        <v>559</v>
      </c>
      <c r="B562" s="31">
        <v>151528</v>
      </c>
      <c r="C562" s="11">
        <v>921</v>
      </c>
      <c r="D562" s="11" t="s">
        <v>1638</v>
      </c>
      <c r="E562" s="24" t="s">
        <v>2255</v>
      </c>
      <c r="F562" s="31" t="s">
        <v>3131</v>
      </c>
      <c r="G562" s="27" t="s">
        <v>3130</v>
      </c>
      <c r="H562" s="8" t="s">
        <v>151</v>
      </c>
      <c r="I562" s="46" t="s">
        <v>3133</v>
      </c>
      <c r="J562" s="25">
        <v>44790</v>
      </c>
      <c r="K562" s="25">
        <v>45216</v>
      </c>
      <c r="L562" s="26">
        <f t="shared" si="228"/>
        <v>83.300004010275742</v>
      </c>
      <c r="M562" s="11">
        <v>2</v>
      </c>
      <c r="N562" s="11" t="s">
        <v>280</v>
      </c>
      <c r="O562" s="11" t="s">
        <v>3132</v>
      </c>
      <c r="P562" s="11" t="s">
        <v>274</v>
      </c>
      <c r="Q562" s="11" t="s">
        <v>34</v>
      </c>
      <c r="R562" s="2">
        <f t="shared" si="235"/>
        <v>353117.88</v>
      </c>
      <c r="S562" s="2">
        <v>353117.88</v>
      </c>
      <c r="T562" s="2">
        <v>0</v>
      </c>
      <c r="U562" s="2">
        <f t="shared" si="236"/>
        <v>62314.9</v>
      </c>
      <c r="V562" s="28">
        <v>62314.9</v>
      </c>
      <c r="W562" s="2">
        <v>0</v>
      </c>
      <c r="X562" s="2">
        <f t="shared" si="237"/>
        <v>0</v>
      </c>
      <c r="Y562" s="2">
        <v>0</v>
      </c>
      <c r="Z562" s="2">
        <v>0</v>
      </c>
      <c r="AA562" s="2">
        <f t="shared" si="238"/>
        <v>8478.2199999999993</v>
      </c>
      <c r="AB562" s="2">
        <v>8478.2199999999993</v>
      </c>
      <c r="AC562" s="2">
        <v>0</v>
      </c>
      <c r="AD562" s="16">
        <f t="shared" si="234"/>
        <v>423911</v>
      </c>
      <c r="AE562" s="2">
        <v>0</v>
      </c>
      <c r="AF562" s="2">
        <f t="shared" si="239"/>
        <v>423911</v>
      </c>
      <c r="AG562" s="38" t="s">
        <v>486</v>
      </c>
      <c r="AH562" s="29"/>
      <c r="AI562" s="118">
        <v>42391.1</v>
      </c>
      <c r="AJ562" s="30">
        <v>0</v>
      </c>
      <c r="AK562" s="179"/>
    </row>
    <row r="563" spans="1:37" s="43" customFormat="1" ht="189" x14ac:dyDescent="0.25">
      <c r="A563" s="6">
        <v>560</v>
      </c>
      <c r="B563" s="31">
        <v>150753</v>
      </c>
      <c r="C563" s="11">
        <v>927</v>
      </c>
      <c r="D563" s="11" t="s">
        <v>1638</v>
      </c>
      <c r="E563" s="24" t="s">
        <v>2255</v>
      </c>
      <c r="F563" s="31" t="s">
        <v>3135</v>
      </c>
      <c r="G563" s="27" t="s">
        <v>3134</v>
      </c>
      <c r="H563" s="8" t="s">
        <v>151</v>
      </c>
      <c r="I563" s="46" t="s">
        <v>3136</v>
      </c>
      <c r="J563" s="25">
        <v>44790</v>
      </c>
      <c r="K563" s="25">
        <v>45216</v>
      </c>
      <c r="L563" s="26">
        <f t="shared" si="228"/>
        <v>83.299996437112966</v>
      </c>
      <c r="M563" s="11">
        <v>6</v>
      </c>
      <c r="N563" s="11" t="s">
        <v>3137</v>
      </c>
      <c r="O563" s="11" t="s">
        <v>3137</v>
      </c>
      <c r="P563" s="11" t="s">
        <v>274</v>
      </c>
      <c r="Q563" s="11" t="s">
        <v>34</v>
      </c>
      <c r="R563" s="2">
        <f t="shared" si="235"/>
        <v>333397.59000000003</v>
      </c>
      <c r="S563" s="2">
        <v>333397.59000000003</v>
      </c>
      <c r="T563" s="2">
        <v>0</v>
      </c>
      <c r="U563" s="2">
        <f t="shared" si="236"/>
        <v>58834.87</v>
      </c>
      <c r="V563" s="28">
        <v>58834.87</v>
      </c>
      <c r="W563" s="2">
        <v>0</v>
      </c>
      <c r="X563" s="2">
        <f t="shared" si="237"/>
        <v>0</v>
      </c>
      <c r="Y563" s="2">
        <v>0</v>
      </c>
      <c r="Z563" s="2">
        <v>0</v>
      </c>
      <c r="AA563" s="2">
        <f t="shared" si="238"/>
        <v>8004.76</v>
      </c>
      <c r="AB563" s="2">
        <v>8004.76</v>
      </c>
      <c r="AC563" s="2">
        <v>0</v>
      </c>
      <c r="AD563" s="16">
        <f t="shared" si="234"/>
        <v>400237.22000000003</v>
      </c>
      <c r="AE563" s="2">
        <v>0</v>
      </c>
      <c r="AF563" s="2">
        <f t="shared" si="239"/>
        <v>400237.22000000003</v>
      </c>
      <c r="AG563" s="38" t="s">
        <v>486</v>
      </c>
      <c r="AH563" s="29"/>
      <c r="AI563" s="118">
        <v>0</v>
      </c>
      <c r="AJ563" s="30">
        <v>0</v>
      </c>
      <c r="AK563" s="179"/>
    </row>
    <row r="564" spans="1:37" s="43" customFormat="1" ht="189" x14ac:dyDescent="0.25">
      <c r="A564" s="6">
        <v>561</v>
      </c>
      <c r="B564" s="31">
        <v>150891</v>
      </c>
      <c r="C564" s="11">
        <v>967</v>
      </c>
      <c r="D564" s="11" t="s">
        <v>1638</v>
      </c>
      <c r="E564" s="24" t="s">
        <v>2255</v>
      </c>
      <c r="F564" s="31" t="s">
        <v>3139</v>
      </c>
      <c r="G564" s="27" t="s">
        <v>3138</v>
      </c>
      <c r="H564" s="8" t="s">
        <v>151</v>
      </c>
      <c r="I564" s="46" t="s">
        <v>3140</v>
      </c>
      <c r="J564" s="25">
        <v>44790</v>
      </c>
      <c r="K564" s="25">
        <v>45216</v>
      </c>
      <c r="L564" s="26">
        <f t="shared" si="228"/>
        <v>83.300003294179646</v>
      </c>
      <c r="M564" s="11">
        <v>4</v>
      </c>
      <c r="N564" s="11" t="s">
        <v>231</v>
      </c>
      <c r="O564" s="11" t="s">
        <v>231</v>
      </c>
      <c r="P564" s="11" t="s">
        <v>274</v>
      </c>
      <c r="Q564" s="11" t="s">
        <v>34</v>
      </c>
      <c r="R564" s="2">
        <f t="shared" si="235"/>
        <v>354018.35</v>
      </c>
      <c r="S564" s="2">
        <v>354018.35</v>
      </c>
      <c r="T564" s="2">
        <v>0</v>
      </c>
      <c r="U564" s="2">
        <f t="shared" si="236"/>
        <v>62473.81</v>
      </c>
      <c r="V564" s="28">
        <v>62473.81</v>
      </c>
      <c r="W564" s="2">
        <v>0</v>
      </c>
      <c r="X564" s="2">
        <f t="shared" si="237"/>
        <v>0</v>
      </c>
      <c r="Y564" s="2">
        <v>0</v>
      </c>
      <c r="Z564" s="2">
        <v>0</v>
      </c>
      <c r="AA564" s="2">
        <f t="shared" si="238"/>
        <v>8499.84</v>
      </c>
      <c r="AB564" s="2">
        <v>8499.84</v>
      </c>
      <c r="AC564" s="2">
        <v>0</v>
      </c>
      <c r="AD564" s="16">
        <f t="shared" si="234"/>
        <v>424992</v>
      </c>
      <c r="AE564" s="2">
        <v>0</v>
      </c>
      <c r="AF564" s="2">
        <f t="shared" si="239"/>
        <v>424992</v>
      </c>
      <c r="AG564" s="38" t="s">
        <v>486</v>
      </c>
      <c r="AH564" s="29"/>
      <c r="AI564" s="118">
        <v>42499</v>
      </c>
      <c r="AJ564" s="30">
        <v>0</v>
      </c>
      <c r="AK564" s="179"/>
    </row>
    <row r="565" spans="1:37" s="43" customFormat="1" ht="173.25" x14ac:dyDescent="0.25">
      <c r="A565" s="6">
        <v>562</v>
      </c>
      <c r="B565" s="31">
        <v>150998</v>
      </c>
      <c r="C565" s="11">
        <v>1026</v>
      </c>
      <c r="D565" s="11" t="s">
        <v>1638</v>
      </c>
      <c r="E565" s="24" t="s">
        <v>2255</v>
      </c>
      <c r="F565" s="31" t="s">
        <v>3142</v>
      </c>
      <c r="G565" s="27" t="s">
        <v>3141</v>
      </c>
      <c r="H565" s="8" t="s">
        <v>151</v>
      </c>
      <c r="I565" s="46" t="s">
        <v>3143</v>
      </c>
      <c r="J565" s="25">
        <v>44790</v>
      </c>
      <c r="K565" s="25">
        <v>45216</v>
      </c>
      <c r="L565" s="26">
        <f t="shared" si="228"/>
        <v>83.300001253372415</v>
      </c>
      <c r="M565" s="11">
        <v>7</v>
      </c>
      <c r="N565" s="11" t="s">
        <v>194</v>
      </c>
      <c r="O565" s="11" t="s">
        <v>3144</v>
      </c>
      <c r="P565" s="11" t="s">
        <v>274</v>
      </c>
      <c r="Q565" s="11" t="s">
        <v>34</v>
      </c>
      <c r="R565" s="2">
        <f t="shared" si="235"/>
        <v>334961.90000000002</v>
      </c>
      <c r="S565" s="2">
        <v>334961.90000000002</v>
      </c>
      <c r="T565" s="2">
        <v>0</v>
      </c>
      <c r="U565" s="2">
        <f t="shared" si="236"/>
        <v>59110.91</v>
      </c>
      <c r="V565" s="28">
        <v>59110.91</v>
      </c>
      <c r="W565" s="2">
        <v>0</v>
      </c>
      <c r="X565" s="2">
        <f t="shared" si="237"/>
        <v>0</v>
      </c>
      <c r="Y565" s="2">
        <v>0</v>
      </c>
      <c r="Z565" s="2">
        <v>0</v>
      </c>
      <c r="AA565" s="2">
        <f t="shared" si="238"/>
        <v>8042.31</v>
      </c>
      <c r="AB565" s="2">
        <v>8042.31</v>
      </c>
      <c r="AC565" s="2">
        <v>0</v>
      </c>
      <c r="AD565" s="16">
        <f t="shared" si="234"/>
        <v>402115.12000000005</v>
      </c>
      <c r="AE565" s="2">
        <v>0</v>
      </c>
      <c r="AF565" s="2">
        <f t="shared" si="239"/>
        <v>402115.12000000005</v>
      </c>
      <c r="AG565" s="38" t="s">
        <v>486</v>
      </c>
      <c r="AH565" s="29"/>
      <c r="AI565" s="118">
        <v>0</v>
      </c>
      <c r="AJ565" s="30">
        <v>0</v>
      </c>
      <c r="AK565" s="179"/>
    </row>
    <row r="566" spans="1:37" s="43" customFormat="1" ht="141.75" x14ac:dyDescent="0.25">
      <c r="A566" s="6">
        <v>563</v>
      </c>
      <c r="B566" s="31">
        <v>151345</v>
      </c>
      <c r="C566" s="11">
        <v>1036</v>
      </c>
      <c r="D566" s="11" t="s">
        <v>1638</v>
      </c>
      <c r="E566" s="24" t="s">
        <v>2255</v>
      </c>
      <c r="F566" s="31" t="s">
        <v>3146</v>
      </c>
      <c r="G566" s="27" t="s">
        <v>3145</v>
      </c>
      <c r="H566" s="8" t="s">
        <v>151</v>
      </c>
      <c r="I566" s="46" t="s">
        <v>3157</v>
      </c>
      <c r="J566" s="25">
        <v>44792</v>
      </c>
      <c r="K566" s="25">
        <v>45157</v>
      </c>
      <c r="L566" s="26">
        <f t="shared" si="228"/>
        <v>83.299999527023516</v>
      </c>
      <c r="M566" s="11" t="s">
        <v>3147</v>
      </c>
      <c r="N566" s="11" t="s">
        <v>3148</v>
      </c>
      <c r="O566" s="11" t="s">
        <v>3148</v>
      </c>
      <c r="P566" s="11" t="s">
        <v>274</v>
      </c>
      <c r="Q566" s="11" t="s">
        <v>34</v>
      </c>
      <c r="R566" s="2">
        <f t="shared" si="235"/>
        <v>352237.38</v>
      </c>
      <c r="S566" s="2">
        <v>352237.38</v>
      </c>
      <c r="T566" s="2">
        <v>0</v>
      </c>
      <c r="U566" s="2">
        <f t="shared" si="236"/>
        <v>62159.54</v>
      </c>
      <c r="V566" s="28">
        <v>62159.54</v>
      </c>
      <c r="W566" s="2">
        <v>0</v>
      </c>
      <c r="X566" s="2">
        <f t="shared" si="237"/>
        <v>0</v>
      </c>
      <c r="Y566" s="2">
        <v>0</v>
      </c>
      <c r="Z566" s="2">
        <v>0</v>
      </c>
      <c r="AA566" s="2">
        <f t="shared" si="238"/>
        <v>8457.08</v>
      </c>
      <c r="AB566" s="2">
        <v>8457.08</v>
      </c>
      <c r="AC566" s="2">
        <v>0</v>
      </c>
      <c r="AD566" s="16">
        <f t="shared" si="234"/>
        <v>422854</v>
      </c>
      <c r="AE566" s="2">
        <v>53912.5</v>
      </c>
      <c r="AF566" s="2">
        <f t="shared" si="239"/>
        <v>476766.5</v>
      </c>
      <c r="AG566" s="38" t="s">
        <v>486</v>
      </c>
      <c r="AH566" s="29"/>
      <c r="AI566" s="118">
        <v>0</v>
      </c>
      <c r="AJ566" s="30">
        <v>0</v>
      </c>
      <c r="AK566" s="179"/>
    </row>
    <row r="567" spans="1:37" s="43" customFormat="1" ht="299.25" x14ac:dyDescent="0.25">
      <c r="A567" s="6">
        <v>564</v>
      </c>
      <c r="B567" s="31">
        <v>151348</v>
      </c>
      <c r="C567" s="11">
        <v>1037</v>
      </c>
      <c r="D567" s="11" t="s">
        <v>1638</v>
      </c>
      <c r="E567" s="24" t="s">
        <v>2255</v>
      </c>
      <c r="F567" s="31" t="s">
        <v>3150</v>
      </c>
      <c r="G567" s="27" t="s">
        <v>3149</v>
      </c>
      <c r="H567" s="8" t="s">
        <v>151</v>
      </c>
      <c r="I567" s="46" t="s">
        <v>3158</v>
      </c>
      <c r="J567" s="25">
        <v>44790</v>
      </c>
      <c r="K567" s="25">
        <v>45216</v>
      </c>
      <c r="L567" s="26">
        <f t="shared" si="228"/>
        <v>83.300002067797152</v>
      </c>
      <c r="M567" s="11">
        <v>3</v>
      </c>
      <c r="N567" s="11" t="s">
        <v>200</v>
      </c>
      <c r="O567" s="11" t="s">
        <v>202</v>
      </c>
      <c r="P567" s="11" t="s">
        <v>274</v>
      </c>
      <c r="Q567" s="11" t="s">
        <v>34</v>
      </c>
      <c r="R567" s="2">
        <f t="shared" si="235"/>
        <v>345237.45</v>
      </c>
      <c r="S567" s="2">
        <v>345237.45</v>
      </c>
      <c r="T567" s="2">
        <v>0</v>
      </c>
      <c r="U567" s="2">
        <f t="shared" si="236"/>
        <v>60924.26</v>
      </c>
      <c r="V567" s="28">
        <v>60924.26</v>
      </c>
      <c r="W567" s="2">
        <v>0</v>
      </c>
      <c r="X567" s="2">
        <f t="shared" si="237"/>
        <v>0</v>
      </c>
      <c r="Y567" s="2">
        <v>0</v>
      </c>
      <c r="Z567" s="2">
        <v>0</v>
      </c>
      <c r="AA567" s="2">
        <f t="shared" si="238"/>
        <v>8289</v>
      </c>
      <c r="AB567" s="2">
        <v>8289</v>
      </c>
      <c r="AC567" s="2">
        <v>0</v>
      </c>
      <c r="AD567" s="16">
        <f t="shared" si="234"/>
        <v>414450.71</v>
      </c>
      <c r="AE567" s="2">
        <v>0</v>
      </c>
      <c r="AF567" s="2">
        <f t="shared" si="239"/>
        <v>414450.71</v>
      </c>
      <c r="AG567" s="38" t="s">
        <v>486</v>
      </c>
      <c r="AH567" s="29"/>
      <c r="AI567" s="118">
        <v>40616</v>
      </c>
      <c r="AJ567" s="30">
        <v>0</v>
      </c>
      <c r="AK567" s="179"/>
    </row>
    <row r="568" spans="1:37" s="43" customFormat="1" ht="173.25" x14ac:dyDescent="0.25">
      <c r="A568" s="6">
        <v>565</v>
      </c>
      <c r="B568" s="31">
        <v>151293</v>
      </c>
      <c r="C568" s="11">
        <v>1050</v>
      </c>
      <c r="D568" s="11" t="s">
        <v>1638</v>
      </c>
      <c r="E568" s="24" t="s">
        <v>2255</v>
      </c>
      <c r="F568" s="31" t="s">
        <v>3152</v>
      </c>
      <c r="G568" s="27" t="s">
        <v>3151</v>
      </c>
      <c r="H568" s="8" t="s">
        <v>151</v>
      </c>
      <c r="I568" s="46" t="s">
        <v>3159</v>
      </c>
      <c r="J568" s="25">
        <v>44790</v>
      </c>
      <c r="K568" s="25">
        <v>45033</v>
      </c>
      <c r="L568" s="26">
        <f t="shared" si="228"/>
        <v>83.300002811945745</v>
      </c>
      <c r="M568" s="11">
        <v>3</v>
      </c>
      <c r="N568" s="11" t="s">
        <v>330</v>
      </c>
      <c r="O568" s="11" t="s">
        <v>3153</v>
      </c>
      <c r="P568" s="11" t="s">
        <v>274</v>
      </c>
      <c r="Q568" s="11" t="s">
        <v>34</v>
      </c>
      <c r="R568" s="2">
        <f t="shared" si="235"/>
        <v>353113.51</v>
      </c>
      <c r="S568" s="2">
        <v>353113.51</v>
      </c>
      <c r="T568" s="2">
        <v>0</v>
      </c>
      <c r="U568" s="2">
        <f t="shared" si="236"/>
        <v>62314.14</v>
      </c>
      <c r="V568" s="28">
        <v>62314.14</v>
      </c>
      <c r="W568" s="2">
        <v>0</v>
      </c>
      <c r="X568" s="2">
        <f t="shared" si="237"/>
        <v>0</v>
      </c>
      <c r="Y568" s="2">
        <v>0</v>
      </c>
      <c r="Z568" s="2">
        <v>0</v>
      </c>
      <c r="AA568" s="2">
        <f t="shared" si="238"/>
        <v>8478.11</v>
      </c>
      <c r="AB568" s="2">
        <v>8478.11</v>
      </c>
      <c r="AC568" s="2">
        <v>0</v>
      </c>
      <c r="AD568" s="16">
        <f t="shared" si="234"/>
        <v>423905.76</v>
      </c>
      <c r="AE568" s="2">
        <v>0</v>
      </c>
      <c r="AF568" s="2">
        <f t="shared" si="239"/>
        <v>423905.76</v>
      </c>
      <c r="AG568" s="38" t="s">
        <v>486</v>
      </c>
      <c r="AH568" s="29"/>
      <c r="AI568" s="118">
        <v>42390.57</v>
      </c>
      <c r="AJ568" s="30">
        <v>0</v>
      </c>
      <c r="AK568" s="179"/>
    </row>
    <row r="569" spans="1:37" s="43" customFormat="1" ht="236.25" x14ac:dyDescent="0.25">
      <c r="A569" s="6">
        <v>566</v>
      </c>
      <c r="B569" s="31">
        <v>151529</v>
      </c>
      <c r="C569" s="11">
        <v>1066</v>
      </c>
      <c r="D569" s="11" t="s">
        <v>1638</v>
      </c>
      <c r="E569" s="24" t="s">
        <v>2255</v>
      </c>
      <c r="F569" s="31" t="s">
        <v>3155</v>
      </c>
      <c r="G569" s="27" t="s">
        <v>3154</v>
      </c>
      <c r="H569" s="8" t="s">
        <v>151</v>
      </c>
      <c r="I569" s="46" t="s">
        <v>3160</v>
      </c>
      <c r="J569" s="25">
        <v>44792</v>
      </c>
      <c r="K569" s="25">
        <v>45218</v>
      </c>
      <c r="L569" s="26">
        <f t="shared" si="228"/>
        <v>83.300003982203265</v>
      </c>
      <c r="M569" s="11">
        <v>2</v>
      </c>
      <c r="N569" s="11" t="s">
        <v>1917</v>
      </c>
      <c r="O569" s="11" t="s">
        <v>3156</v>
      </c>
      <c r="P569" s="11" t="s">
        <v>274</v>
      </c>
      <c r="Q569" s="11" t="s">
        <v>34</v>
      </c>
      <c r="R569" s="2">
        <f t="shared" si="235"/>
        <v>292434.61</v>
      </c>
      <c r="S569" s="2">
        <v>292434.61</v>
      </c>
      <c r="T569" s="2">
        <v>0</v>
      </c>
      <c r="U569" s="2">
        <f t="shared" si="236"/>
        <v>51606.09</v>
      </c>
      <c r="V569" s="28">
        <v>51606.09</v>
      </c>
      <c r="W569" s="2">
        <v>0</v>
      </c>
      <c r="X569" s="2">
        <f t="shared" si="237"/>
        <v>0</v>
      </c>
      <c r="Y569" s="2">
        <v>0</v>
      </c>
      <c r="Z569" s="2">
        <v>0</v>
      </c>
      <c r="AA569" s="2">
        <f t="shared" si="238"/>
        <v>7021.24</v>
      </c>
      <c r="AB569" s="2">
        <v>7021.24</v>
      </c>
      <c r="AC569" s="2">
        <v>0</v>
      </c>
      <c r="AD569" s="16">
        <f t="shared" si="234"/>
        <v>351061.93999999994</v>
      </c>
      <c r="AE569" s="2">
        <v>0</v>
      </c>
      <c r="AF569" s="2">
        <f t="shared" si="239"/>
        <v>351061.93999999994</v>
      </c>
      <c r="AG569" s="38" t="s">
        <v>486</v>
      </c>
      <c r="AH569" s="29"/>
      <c r="AI569" s="118">
        <v>0</v>
      </c>
      <c r="AJ569" s="30">
        <v>0</v>
      </c>
      <c r="AK569" s="179"/>
    </row>
    <row r="570" spans="1:37" s="43" customFormat="1" ht="204.75" x14ac:dyDescent="0.25">
      <c r="A570" s="6">
        <v>567</v>
      </c>
      <c r="B570" s="31">
        <v>151249</v>
      </c>
      <c r="C570" s="11">
        <v>939</v>
      </c>
      <c r="D570" s="11" t="s">
        <v>1638</v>
      </c>
      <c r="E570" s="24" t="s">
        <v>2255</v>
      </c>
      <c r="F570" s="31" t="s">
        <v>3168</v>
      </c>
      <c r="G570" s="27" t="s">
        <v>3167</v>
      </c>
      <c r="H570" s="8" t="s">
        <v>151</v>
      </c>
      <c r="I570" s="46" t="s">
        <v>3181</v>
      </c>
      <c r="J570" s="25">
        <v>44797</v>
      </c>
      <c r="K570" s="25">
        <v>45101</v>
      </c>
      <c r="L570" s="26">
        <f t="shared" si="228"/>
        <v>83.300002578196072</v>
      </c>
      <c r="M570" s="11">
        <v>6</v>
      </c>
      <c r="N570" s="11" t="s">
        <v>416</v>
      </c>
      <c r="O570" s="11" t="s">
        <v>416</v>
      </c>
      <c r="P570" s="11" t="s">
        <v>274</v>
      </c>
      <c r="Q570" s="11" t="s">
        <v>34</v>
      </c>
      <c r="R570" s="2">
        <f t="shared" si="235"/>
        <v>339248.84</v>
      </c>
      <c r="S570" s="2">
        <v>339248.84</v>
      </c>
      <c r="T570" s="2">
        <v>0</v>
      </c>
      <c r="U570" s="2">
        <f t="shared" si="236"/>
        <v>59867.43</v>
      </c>
      <c r="V570" s="28">
        <v>59867.43</v>
      </c>
      <c r="W570" s="2">
        <v>0</v>
      </c>
      <c r="X570" s="2">
        <f t="shared" si="237"/>
        <v>0</v>
      </c>
      <c r="Y570" s="2">
        <v>0</v>
      </c>
      <c r="Z570" s="2">
        <v>0</v>
      </c>
      <c r="AA570" s="2">
        <f t="shared" si="238"/>
        <v>8145.23</v>
      </c>
      <c r="AB570" s="2">
        <v>8145.23</v>
      </c>
      <c r="AC570" s="2">
        <v>0</v>
      </c>
      <c r="AD570" s="16">
        <f t="shared" si="234"/>
        <v>407261.5</v>
      </c>
      <c r="AE570" s="2">
        <v>0</v>
      </c>
      <c r="AF570" s="2">
        <f t="shared" si="239"/>
        <v>407261.5</v>
      </c>
      <c r="AG570" s="38" t="s">
        <v>486</v>
      </c>
      <c r="AH570" s="29"/>
      <c r="AI570" s="118">
        <v>0</v>
      </c>
      <c r="AJ570" s="30">
        <v>0</v>
      </c>
      <c r="AK570" s="179"/>
    </row>
    <row r="571" spans="1:37" s="43" customFormat="1" ht="220.5" x14ac:dyDescent="0.25">
      <c r="A571" s="6">
        <v>568</v>
      </c>
      <c r="B571" s="31">
        <v>151488</v>
      </c>
      <c r="C571" s="11">
        <v>949</v>
      </c>
      <c r="D571" s="11" t="s">
        <v>1638</v>
      </c>
      <c r="E571" s="24" t="s">
        <v>2255</v>
      </c>
      <c r="F571" s="31" t="s">
        <v>3170</v>
      </c>
      <c r="G571" s="27" t="s">
        <v>3169</v>
      </c>
      <c r="H571" s="8" t="s">
        <v>151</v>
      </c>
      <c r="I571" s="46" t="s">
        <v>3182</v>
      </c>
      <c r="J571" s="25">
        <v>44795</v>
      </c>
      <c r="K571" s="25">
        <v>45160</v>
      </c>
      <c r="L571" s="26">
        <f t="shared" si="228"/>
        <v>83.299999499579641</v>
      </c>
      <c r="M571" s="11">
        <v>4</v>
      </c>
      <c r="N571" s="11" t="s">
        <v>2555</v>
      </c>
      <c r="O571" s="11" t="s">
        <v>3171</v>
      </c>
      <c r="P571" s="11" t="s">
        <v>274</v>
      </c>
      <c r="Q571" s="11" t="s">
        <v>34</v>
      </c>
      <c r="R571" s="2">
        <f t="shared" si="235"/>
        <v>332920.11</v>
      </c>
      <c r="S571" s="2">
        <v>332920.11</v>
      </c>
      <c r="T571" s="2">
        <v>0</v>
      </c>
      <c r="U571" s="2">
        <f t="shared" si="236"/>
        <v>58750.61</v>
      </c>
      <c r="V571" s="28">
        <v>58750.61</v>
      </c>
      <c r="W571" s="2">
        <v>0</v>
      </c>
      <c r="X571" s="2">
        <f t="shared" si="237"/>
        <v>0</v>
      </c>
      <c r="Y571" s="2">
        <v>0</v>
      </c>
      <c r="Z571" s="2">
        <v>0</v>
      </c>
      <c r="AA571" s="2">
        <f t="shared" si="238"/>
        <v>7993.28</v>
      </c>
      <c r="AB571" s="2">
        <v>7993.28</v>
      </c>
      <c r="AC571" s="2">
        <v>0</v>
      </c>
      <c r="AD571" s="16">
        <f t="shared" si="234"/>
        <v>399664</v>
      </c>
      <c r="AE571" s="2">
        <v>0</v>
      </c>
      <c r="AF571" s="2">
        <f t="shared" si="239"/>
        <v>399664</v>
      </c>
      <c r="AG571" s="38" t="s">
        <v>486</v>
      </c>
      <c r="AH571" s="29"/>
      <c r="AI571" s="118">
        <v>39966.400000000001</v>
      </c>
      <c r="AJ571" s="30">
        <v>0</v>
      </c>
      <c r="AK571" s="179"/>
    </row>
    <row r="572" spans="1:37" s="43" customFormat="1" ht="283.5" x14ac:dyDescent="0.25">
      <c r="A572" s="6">
        <v>569</v>
      </c>
      <c r="B572" s="31">
        <v>151511</v>
      </c>
      <c r="C572" s="11">
        <v>1000</v>
      </c>
      <c r="D572" s="11" t="s">
        <v>1638</v>
      </c>
      <c r="E572" s="24" t="s">
        <v>2255</v>
      </c>
      <c r="F572" s="31" t="s">
        <v>3173</v>
      </c>
      <c r="G572" s="27" t="s">
        <v>3172</v>
      </c>
      <c r="H572" s="8" t="s">
        <v>151</v>
      </c>
      <c r="I572" s="46" t="s">
        <v>3174</v>
      </c>
      <c r="J572" s="25">
        <v>44796</v>
      </c>
      <c r="K572" s="25">
        <v>44980</v>
      </c>
      <c r="L572" s="26">
        <f t="shared" si="228"/>
        <v>83.300003989065914</v>
      </c>
      <c r="M572" s="11">
        <v>3</v>
      </c>
      <c r="N572" s="11" t="s">
        <v>240</v>
      </c>
      <c r="O572" s="11" t="s">
        <v>3175</v>
      </c>
      <c r="P572" s="11" t="s">
        <v>274</v>
      </c>
      <c r="Q572" s="11" t="s">
        <v>34</v>
      </c>
      <c r="R572" s="2">
        <f t="shared" si="235"/>
        <v>353742.48</v>
      </c>
      <c r="S572" s="2">
        <v>353742.48</v>
      </c>
      <c r="T572" s="2">
        <v>0</v>
      </c>
      <c r="U572" s="2">
        <f t="shared" si="236"/>
        <v>62425.13</v>
      </c>
      <c r="V572" s="28">
        <v>62425.13</v>
      </c>
      <c r="W572" s="2">
        <v>0</v>
      </c>
      <c r="X572" s="2">
        <f t="shared" si="237"/>
        <v>0</v>
      </c>
      <c r="Y572" s="2">
        <v>0</v>
      </c>
      <c r="Z572" s="2">
        <v>0</v>
      </c>
      <c r="AA572" s="2">
        <f t="shared" si="238"/>
        <v>8493.2099999999991</v>
      </c>
      <c r="AB572" s="2">
        <v>8493.2099999999991</v>
      </c>
      <c r="AC572" s="2">
        <v>0</v>
      </c>
      <c r="AD572" s="16">
        <f t="shared" si="234"/>
        <v>424660.82</v>
      </c>
      <c r="AE572" s="2">
        <v>0</v>
      </c>
      <c r="AF572" s="2">
        <f t="shared" si="239"/>
        <v>424660.82</v>
      </c>
      <c r="AG572" s="38" t="s">
        <v>486</v>
      </c>
      <c r="AH572" s="29"/>
      <c r="AI572" s="118">
        <f>42466.08</f>
        <v>42466.080000000002</v>
      </c>
      <c r="AJ572" s="30">
        <v>0</v>
      </c>
      <c r="AK572" s="179"/>
    </row>
    <row r="573" spans="1:37" s="43" customFormat="1" ht="204.75" x14ac:dyDescent="0.25">
      <c r="A573" s="6">
        <v>570</v>
      </c>
      <c r="B573" s="31">
        <v>151056</v>
      </c>
      <c r="C573" s="11">
        <v>1030</v>
      </c>
      <c r="D573" s="11" t="s">
        <v>1638</v>
      </c>
      <c r="E573" s="24" t="s">
        <v>2255</v>
      </c>
      <c r="F573" s="31" t="s">
        <v>3177</v>
      </c>
      <c r="G573" s="27" t="s">
        <v>3176</v>
      </c>
      <c r="H573" s="8" t="s">
        <v>151</v>
      </c>
      <c r="I573" s="46" t="s">
        <v>3183</v>
      </c>
      <c r="J573" s="25">
        <v>44795</v>
      </c>
      <c r="K573" s="25">
        <v>45221</v>
      </c>
      <c r="L573" s="26">
        <f t="shared" si="228"/>
        <v>83.300003326642226</v>
      </c>
      <c r="M573" s="11">
        <v>5</v>
      </c>
      <c r="N573" s="11" t="s">
        <v>537</v>
      </c>
      <c r="O573" s="11" t="s">
        <v>3178</v>
      </c>
      <c r="P573" s="11" t="s">
        <v>274</v>
      </c>
      <c r="Q573" s="11" t="s">
        <v>34</v>
      </c>
      <c r="R573" s="2">
        <f t="shared" si="235"/>
        <v>342801.23</v>
      </c>
      <c r="S573" s="2">
        <v>342801.23</v>
      </c>
      <c r="T573" s="2">
        <v>0</v>
      </c>
      <c r="U573" s="2">
        <f t="shared" si="236"/>
        <v>60494.34</v>
      </c>
      <c r="V573" s="28">
        <v>60494.34</v>
      </c>
      <c r="W573" s="2">
        <v>0</v>
      </c>
      <c r="X573" s="2">
        <f t="shared" si="237"/>
        <v>0</v>
      </c>
      <c r="Y573" s="2">
        <v>0</v>
      </c>
      <c r="Z573" s="2">
        <v>0</v>
      </c>
      <c r="AA573" s="2">
        <f t="shared" si="238"/>
        <v>8230.5</v>
      </c>
      <c r="AB573" s="2">
        <v>8230.5</v>
      </c>
      <c r="AC573" s="2">
        <v>0</v>
      </c>
      <c r="AD573" s="16">
        <f t="shared" si="234"/>
        <v>411526.06999999995</v>
      </c>
      <c r="AE573" s="2">
        <v>0</v>
      </c>
      <c r="AF573" s="2">
        <f t="shared" si="239"/>
        <v>411526.06999999995</v>
      </c>
      <c r="AG573" s="38" t="s">
        <v>486</v>
      </c>
      <c r="AH573" s="29"/>
      <c r="AI573" s="118">
        <f>41150</f>
        <v>41150</v>
      </c>
      <c r="AJ573" s="30">
        <v>0</v>
      </c>
      <c r="AK573" s="179"/>
    </row>
    <row r="574" spans="1:37" s="43" customFormat="1" ht="220.5" x14ac:dyDescent="0.25">
      <c r="A574" s="6">
        <v>571</v>
      </c>
      <c r="B574" s="31">
        <v>151349</v>
      </c>
      <c r="C574" s="11">
        <v>1038</v>
      </c>
      <c r="D574" s="11" t="s">
        <v>1638</v>
      </c>
      <c r="E574" s="24" t="s">
        <v>2255</v>
      </c>
      <c r="F574" s="31" t="s">
        <v>3180</v>
      </c>
      <c r="G574" s="27" t="s">
        <v>3179</v>
      </c>
      <c r="H574" s="8" t="s">
        <v>294</v>
      </c>
      <c r="I574" s="46" t="s">
        <v>3184</v>
      </c>
      <c r="J574" s="25">
        <v>44797</v>
      </c>
      <c r="K574" s="25">
        <v>45162</v>
      </c>
      <c r="L574" s="26">
        <f t="shared" si="228"/>
        <v>83.299999220261185</v>
      </c>
      <c r="M574" s="11">
        <v>7</v>
      </c>
      <c r="N574" s="11" t="s">
        <v>660</v>
      </c>
      <c r="O574" s="11" t="s">
        <v>660</v>
      </c>
      <c r="P574" s="11" t="s">
        <v>274</v>
      </c>
      <c r="Q574" s="11" t="s">
        <v>34</v>
      </c>
      <c r="R574" s="2">
        <f t="shared" si="235"/>
        <v>248915.4</v>
      </c>
      <c r="S574" s="2">
        <v>248915.4</v>
      </c>
      <c r="T574" s="2">
        <v>0</v>
      </c>
      <c r="U574" s="2">
        <f t="shared" si="236"/>
        <v>43926.25</v>
      </c>
      <c r="V574" s="28">
        <v>43926.25</v>
      </c>
      <c r="W574" s="2">
        <v>0</v>
      </c>
      <c r="X574" s="2">
        <f t="shared" si="237"/>
        <v>0</v>
      </c>
      <c r="Y574" s="2">
        <v>0</v>
      </c>
      <c r="Z574" s="2">
        <v>0</v>
      </c>
      <c r="AA574" s="2">
        <f t="shared" si="238"/>
        <v>5976.36</v>
      </c>
      <c r="AB574" s="2">
        <v>5976.36</v>
      </c>
      <c r="AC574" s="2">
        <v>0</v>
      </c>
      <c r="AD574" s="16">
        <f t="shared" si="234"/>
        <v>298818.01</v>
      </c>
      <c r="AE574" s="2">
        <v>0</v>
      </c>
      <c r="AF574" s="2">
        <f t="shared" si="239"/>
        <v>298818.01</v>
      </c>
      <c r="AG574" s="38" t="s">
        <v>486</v>
      </c>
      <c r="AH574" s="29"/>
      <c r="AI574" s="118">
        <f>29881.8</f>
        <v>29881.8</v>
      </c>
      <c r="AJ574" s="30">
        <v>0</v>
      </c>
      <c r="AK574" s="179"/>
    </row>
    <row r="575" spans="1:37" s="43" customFormat="1" ht="330.75" x14ac:dyDescent="0.25">
      <c r="A575" s="6">
        <v>572</v>
      </c>
      <c r="B575" s="31">
        <v>151477</v>
      </c>
      <c r="C575" s="11">
        <v>1057</v>
      </c>
      <c r="D575" s="11" t="s">
        <v>1638</v>
      </c>
      <c r="E575" s="24" t="s">
        <v>2255</v>
      </c>
      <c r="F575" s="31" t="s">
        <v>3190</v>
      </c>
      <c r="G575" s="27" t="s">
        <v>3189</v>
      </c>
      <c r="H575" s="8" t="s">
        <v>294</v>
      </c>
      <c r="I575" s="46" t="s">
        <v>3191</v>
      </c>
      <c r="J575" s="25">
        <v>44798</v>
      </c>
      <c r="K575" s="25">
        <v>45224</v>
      </c>
      <c r="L575" s="26">
        <f t="shared" si="228"/>
        <v>83.300004183780601</v>
      </c>
      <c r="M575" s="11">
        <v>6</v>
      </c>
      <c r="N575" s="11" t="s">
        <v>411</v>
      </c>
      <c r="O575" s="11" t="s">
        <v>3192</v>
      </c>
      <c r="P575" s="11" t="s">
        <v>274</v>
      </c>
      <c r="Q575" s="11" t="s">
        <v>34</v>
      </c>
      <c r="R575" s="2">
        <f t="shared" si="235"/>
        <v>339469.3</v>
      </c>
      <c r="S575" s="2">
        <v>339469.3</v>
      </c>
      <c r="T575" s="2">
        <v>0</v>
      </c>
      <c r="U575" s="2">
        <f t="shared" si="236"/>
        <v>59906.33</v>
      </c>
      <c r="V575" s="28">
        <v>59906.33</v>
      </c>
      <c r="W575" s="2">
        <v>0</v>
      </c>
      <c r="X575" s="2">
        <f t="shared" si="237"/>
        <v>0</v>
      </c>
      <c r="Y575" s="2">
        <v>0</v>
      </c>
      <c r="Z575" s="2">
        <v>0</v>
      </c>
      <c r="AA575" s="2">
        <f t="shared" si="238"/>
        <v>8150.52</v>
      </c>
      <c r="AB575" s="2">
        <v>8150.52</v>
      </c>
      <c r="AC575" s="2">
        <v>0</v>
      </c>
      <c r="AD575" s="16">
        <f t="shared" si="234"/>
        <v>407526.15</v>
      </c>
      <c r="AE575" s="2">
        <v>0</v>
      </c>
      <c r="AF575" s="2">
        <f t="shared" si="239"/>
        <v>407526.15</v>
      </c>
      <c r="AG575" s="38" t="s">
        <v>486</v>
      </c>
      <c r="AH575" s="29"/>
      <c r="AI575" s="118">
        <f>40752.61</f>
        <v>40752.61</v>
      </c>
      <c r="AJ575" s="30">
        <v>0</v>
      </c>
      <c r="AK575" s="179"/>
    </row>
    <row r="576" spans="1:37" s="43" customFormat="1" ht="141.75" x14ac:dyDescent="0.25">
      <c r="A576" s="6">
        <v>573</v>
      </c>
      <c r="B576" s="31">
        <v>150804</v>
      </c>
      <c r="C576" s="11">
        <v>928</v>
      </c>
      <c r="D576" s="11" t="s">
        <v>1638</v>
      </c>
      <c r="E576" s="24" t="s">
        <v>2255</v>
      </c>
      <c r="F576" s="31" t="s">
        <v>3194</v>
      </c>
      <c r="G576" s="27" t="s">
        <v>3193</v>
      </c>
      <c r="H576" s="11" t="s">
        <v>3195</v>
      </c>
      <c r="I576" s="46" t="s">
        <v>3196</v>
      </c>
      <c r="J576" s="25">
        <v>44799</v>
      </c>
      <c r="K576" s="25">
        <v>45164</v>
      </c>
      <c r="L576" s="26">
        <f t="shared" si="228"/>
        <v>83.300002510172661</v>
      </c>
      <c r="M576" s="11">
        <v>2</v>
      </c>
      <c r="N576" s="11" t="s">
        <v>186</v>
      </c>
      <c r="O576" s="11" t="s">
        <v>186</v>
      </c>
      <c r="P576" s="11" t="s">
        <v>274</v>
      </c>
      <c r="Q576" s="11" t="s">
        <v>34</v>
      </c>
      <c r="R576" s="2">
        <f t="shared" si="235"/>
        <v>353751.77</v>
      </c>
      <c r="S576" s="2">
        <v>353751.77</v>
      </c>
      <c r="T576" s="2">
        <v>0</v>
      </c>
      <c r="U576" s="2">
        <f t="shared" si="236"/>
        <v>62426.78</v>
      </c>
      <c r="V576" s="28">
        <v>62426.78</v>
      </c>
      <c r="W576" s="2">
        <v>0</v>
      </c>
      <c r="X576" s="2">
        <f t="shared" si="237"/>
        <v>0</v>
      </c>
      <c r="Y576" s="2">
        <v>0</v>
      </c>
      <c r="Z576" s="2">
        <v>0</v>
      </c>
      <c r="AA576" s="2">
        <f t="shared" si="238"/>
        <v>8493.43</v>
      </c>
      <c r="AB576" s="2">
        <v>8493.43</v>
      </c>
      <c r="AC576" s="2">
        <v>0</v>
      </c>
      <c r="AD576" s="16">
        <f t="shared" si="234"/>
        <v>424671.98000000004</v>
      </c>
      <c r="AE576" s="2">
        <v>0</v>
      </c>
      <c r="AF576" s="2">
        <f t="shared" si="239"/>
        <v>424671.98000000004</v>
      </c>
      <c r="AG576" s="38" t="s">
        <v>486</v>
      </c>
      <c r="AH576" s="29"/>
      <c r="AI576" s="118">
        <v>42466</v>
      </c>
      <c r="AJ576" s="118">
        <v>0</v>
      </c>
      <c r="AK576" s="179"/>
    </row>
    <row r="577" spans="1:37" s="43" customFormat="1" ht="267.75" x14ac:dyDescent="0.25">
      <c r="A577" s="6">
        <v>574</v>
      </c>
      <c r="B577" s="31">
        <v>151309</v>
      </c>
      <c r="C577" s="11">
        <v>942</v>
      </c>
      <c r="D577" s="11" t="s">
        <v>1638</v>
      </c>
      <c r="E577" s="24" t="s">
        <v>2255</v>
      </c>
      <c r="F577" s="31" t="s">
        <v>3198</v>
      </c>
      <c r="G577" s="27" t="s">
        <v>3197</v>
      </c>
      <c r="H577" s="8" t="s">
        <v>3199</v>
      </c>
      <c r="I577" s="46" t="s">
        <v>3202</v>
      </c>
      <c r="J577" s="25">
        <v>44799</v>
      </c>
      <c r="K577" s="25">
        <v>45225</v>
      </c>
      <c r="L577" s="26">
        <f t="shared" si="228"/>
        <v>83.300000182240083</v>
      </c>
      <c r="M577" s="11" t="s">
        <v>2520</v>
      </c>
      <c r="N577" s="11" t="s">
        <v>3201</v>
      </c>
      <c r="O577" s="11" t="s">
        <v>3200</v>
      </c>
      <c r="P577" s="11" t="s">
        <v>274</v>
      </c>
      <c r="Q577" s="11" t="s">
        <v>34</v>
      </c>
      <c r="R577" s="2">
        <f t="shared" si="235"/>
        <v>347387.89</v>
      </c>
      <c r="S577" s="2">
        <v>347387.89</v>
      </c>
      <c r="T577" s="2">
        <v>0</v>
      </c>
      <c r="U577" s="2">
        <f t="shared" si="236"/>
        <v>61303.74</v>
      </c>
      <c r="V577" s="28">
        <v>61303.74</v>
      </c>
      <c r="W577" s="2">
        <v>0</v>
      </c>
      <c r="X577" s="2">
        <f t="shared" si="237"/>
        <v>0</v>
      </c>
      <c r="Y577" s="2">
        <v>0</v>
      </c>
      <c r="Z577" s="2">
        <v>0</v>
      </c>
      <c r="AA577" s="2">
        <f t="shared" si="238"/>
        <v>8340.65</v>
      </c>
      <c r="AB577" s="2">
        <v>8340.65</v>
      </c>
      <c r="AC577" s="2">
        <v>0</v>
      </c>
      <c r="AD577" s="16">
        <f t="shared" si="234"/>
        <v>417032.28</v>
      </c>
      <c r="AE577" s="2">
        <v>140</v>
      </c>
      <c r="AF577" s="2">
        <f t="shared" si="239"/>
        <v>417172.28</v>
      </c>
      <c r="AG577" s="38" t="s">
        <v>486</v>
      </c>
      <c r="AH577" s="29"/>
      <c r="AI577" s="118">
        <v>0</v>
      </c>
      <c r="AJ577" s="118">
        <v>0</v>
      </c>
      <c r="AK577" s="179"/>
    </row>
    <row r="578" spans="1:37" s="43" customFormat="1" ht="141.75" x14ac:dyDescent="0.25">
      <c r="A578" s="6">
        <v>575</v>
      </c>
      <c r="B578" s="31">
        <v>151186</v>
      </c>
      <c r="C578" s="11">
        <v>1035</v>
      </c>
      <c r="D578" s="11" t="s">
        <v>1638</v>
      </c>
      <c r="E578" s="24" t="s">
        <v>2255</v>
      </c>
      <c r="F578" s="31" t="s">
        <v>3204</v>
      </c>
      <c r="G578" s="27" t="s">
        <v>3203</v>
      </c>
      <c r="H578" s="11" t="s">
        <v>3205</v>
      </c>
      <c r="I578" s="46" t="s">
        <v>3233</v>
      </c>
      <c r="J578" s="25">
        <v>44802</v>
      </c>
      <c r="K578" s="25">
        <v>45045</v>
      </c>
      <c r="L578" s="26">
        <f t="shared" si="228"/>
        <v>83.299998536468351</v>
      </c>
      <c r="M578" s="11">
        <v>5</v>
      </c>
      <c r="N578" s="11" t="s">
        <v>592</v>
      </c>
      <c r="O578" s="11" t="s">
        <v>3206</v>
      </c>
      <c r="P578" s="11" t="s">
        <v>274</v>
      </c>
      <c r="Q578" s="11" t="s">
        <v>34</v>
      </c>
      <c r="R578" s="2">
        <f t="shared" si="235"/>
        <v>346625.23</v>
      </c>
      <c r="S578" s="2">
        <v>346625.23</v>
      </c>
      <c r="T578" s="2">
        <v>0</v>
      </c>
      <c r="U578" s="2">
        <f t="shared" si="236"/>
        <v>61169.17</v>
      </c>
      <c r="V578" s="28">
        <v>61169.17</v>
      </c>
      <c r="W578" s="2">
        <v>0</v>
      </c>
      <c r="X578" s="2">
        <f t="shared" si="237"/>
        <v>0</v>
      </c>
      <c r="Y578" s="2">
        <v>0</v>
      </c>
      <c r="Z578" s="2">
        <v>0</v>
      </c>
      <c r="AA578" s="2">
        <f t="shared" si="238"/>
        <v>8322.33</v>
      </c>
      <c r="AB578" s="2">
        <v>8322.33</v>
      </c>
      <c r="AC578" s="2">
        <v>0</v>
      </c>
      <c r="AD578" s="16">
        <f t="shared" si="234"/>
        <v>416116.73</v>
      </c>
      <c r="AE578" s="2">
        <v>0</v>
      </c>
      <c r="AF578" s="2">
        <f t="shared" si="239"/>
        <v>416116.73</v>
      </c>
      <c r="AG578" s="38" t="s">
        <v>486</v>
      </c>
      <c r="AH578" s="29"/>
      <c r="AI578" s="118">
        <v>41611.660000000003</v>
      </c>
      <c r="AJ578" s="118">
        <v>0</v>
      </c>
      <c r="AK578" s="179"/>
    </row>
    <row r="579" spans="1:37" s="43" customFormat="1" ht="141.75" x14ac:dyDescent="0.25">
      <c r="A579" s="6">
        <v>576</v>
      </c>
      <c r="B579" s="31">
        <v>151424</v>
      </c>
      <c r="C579" s="11">
        <v>1043</v>
      </c>
      <c r="D579" s="11" t="s">
        <v>1638</v>
      </c>
      <c r="E579" s="24" t="s">
        <v>2255</v>
      </c>
      <c r="F579" s="31" t="s">
        <v>3208</v>
      </c>
      <c r="G579" s="27" t="s">
        <v>3207</v>
      </c>
      <c r="H579" s="8" t="s">
        <v>151</v>
      </c>
      <c r="I579" s="46" t="s">
        <v>3234</v>
      </c>
      <c r="J579" s="25">
        <v>44804</v>
      </c>
      <c r="K579" s="25">
        <v>45229</v>
      </c>
      <c r="L579" s="26">
        <f t="shared" si="228"/>
        <v>83.299999433257582</v>
      </c>
      <c r="M579" s="11">
        <v>7</v>
      </c>
      <c r="N579" s="11" t="s">
        <v>263</v>
      </c>
      <c r="O579" s="11" t="s">
        <v>263</v>
      </c>
      <c r="P579" s="11" t="s">
        <v>274</v>
      </c>
      <c r="Q579" s="11" t="s">
        <v>34</v>
      </c>
      <c r="R579" s="2">
        <f t="shared" si="235"/>
        <v>352752.84</v>
      </c>
      <c r="S579" s="2">
        <v>352752.84</v>
      </c>
      <c r="T579" s="2">
        <v>0</v>
      </c>
      <c r="U579" s="2">
        <f t="shared" si="236"/>
        <v>62250.5</v>
      </c>
      <c r="V579" s="28">
        <v>62250.5</v>
      </c>
      <c r="W579" s="2">
        <v>0</v>
      </c>
      <c r="X579" s="2">
        <f t="shared" si="237"/>
        <v>0</v>
      </c>
      <c r="Y579" s="2">
        <v>0</v>
      </c>
      <c r="Z579" s="2">
        <v>0</v>
      </c>
      <c r="AA579" s="2">
        <f t="shared" si="238"/>
        <v>8469.4599999999991</v>
      </c>
      <c r="AB579" s="2">
        <v>8469.4599999999991</v>
      </c>
      <c r="AC579" s="2">
        <v>0</v>
      </c>
      <c r="AD579" s="16">
        <f t="shared" si="234"/>
        <v>423472.80000000005</v>
      </c>
      <c r="AE579" s="2">
        <v>0</v>
      </c>
      <c r="AF579" s="2">
        <f t="shared" si="239"/>
        <v>423472.80000000005</v>
      </c>
      <c r="AG579" s="38" t="s">
        <v>486</v>
      </c>
      <c r="AH579" s="29"/>
      <c r="AI579" s="118">
        <v>42347.28</v>
      </c>
      <c r="AJ579" s="118">
        <v>0</v>
      </c>
      <c r="AK579" s="179"/>
    </row>
    <row r="580" spans="1:37" s="43" customFormat="1" ht="204.75" x14ac:dyDescent="0.25">
      <c r="A580" s="6">
        <v>577</v>
      </c>
      <c r="B580" s="31">
        <v>151187</v>
      </c>
      <c r="C580" s="11">
        <v>1044</v>
      </c>
      <c r="D580" s="11" t="s">
        <v>1638</v>
      </c>
      <c r="E580" s="24" t="s">
        <v>2255</v>
      </c>
      <c r="F580" s="31" t="s">
        <v>3209</v>
      </c>
      <c r="G580" s="27" t="s">
        <v>369</v>
      </c>
      <c r="H580" s="8" t="s">
        <v>151</v>
      </c>
      <c r="I580" s="46" t="s">
        <v>3235</v>
      </c>
      <c r="J580" s="25">
        <v>44802</v>
      </c>
      <c r="K580" s="25">
        <v>45228</v>
      </c>
      <c r="L580" s="26">
        <f t="shared" si="228"/>
        <v>83.300002124349732</v>
      </c>
      <c r="M580" s="11">
        <v>5</v>
      </c>
      <c r="N580" s="11" t="s">
        <v>3210</v>
      </c>
      <c r="O580" s="11" t="s">
        <v>3210</v>
      </c>
      <c r="P580" s="11" t="s">
        <v>274</v>
      </c>
      <c r="Q580" s="11" t="s">
        <v>34</v>
      </c>
      <c r="R580" s="2">
        <f t="shared" si="235"/>
        <v>326635.96000000002</v>
      </c>
      <c r="S580" s="2">
        <v>326635.96000000002</v>
      </c>
      <c r="T580" s="2">
        <v>0</v>
      </c>
      <c r="U580" s="2">
        <f>V580+W580</f>
        <v>57641.63</v>
      </c>
      <c r="V580" s="28">
        <v>57641.63</v>
      </c>
      <c r="W580" s="2">
        <v>0</v>
      </c>
      <c r="X580" s="2">
        <f t="shared" si="237"/>
        <v>0</v>
      </c>
      <c r="Y580" s="2">
        <v>0</v>
      </c>
      <c r="Z580" s="2">
        <v>0</v>
      </c>
      <c r="AA580" s="2">
        <f t="shared" si="238"/>
        <v>7842.4</v>
      </c>
      <c r="AB580" s="2">
        <v>7842.4</v>
      </c>
      <c r="AC580" s="2">
        <v>0</v>
      </c>
      <c r="AD580" s="16">
        <f t="shared" si="234"/>
        <v>392119.99000000005</v>
      </c>
      <c r="AE580" s="2">
        <v>0</v>
      </c>
      <c r="AF580" s="2">
        <f t="shared" si="239"/>
        <v>392119.99000000005</v>
      </c>
      <c r="AG580" s="38" t="s">
        <v>486</v>
      </c>
      <c r="AH580" s="29"/>
      <c r="AI580" s="118">
        <v>0</v>
      </c>
      <c r="AJ580" s="118">
        <v>0</v>
      </c>
      <c r="AK580" s="179"/>
    </row>
    <row r="581" spans="1:37" s="43" customFormat="1" ht="283.5" x14ac:dyDescent="0.25">
      <c r="A581" s="6">
        <v>578</v>
      </c>
      <c r="B581" s="31">
        <v>151577</v>
      </c>
      <c r="C581" s="11">
        <v>1073</v>
      </c>
      <c r="D581" s="11" t="s">
        <v>1638</v>
      </c>
      <c r="E581" s="24" t="s">
        <v>2255</v>
      </c>
      <c r="F581" s="31" t="s">
        <v>3212</v>
      </c>
      <c r="G581" s="27" t="s">
        <v>3211</v>
      </c>
      <c r="H581" s="8" t="s">
        <v>151</v>
      </c>
      <c r="I581" s="46" t="s">
        <v>3214</v>
      </c>
      <c r="J581" s="25">
        <v>44803</v>
      </c>
      <c r="K581" s="25">
        <v>44985</v>
      </c>
      <c r="L581" s="26">
        <f t="shared" si="228"/>
        <v>83.299999275706767</v>
      </c>
      <c r="M581" s="11">
        <v>3</v>
      </c>
      <c r="N581" s="11" t="s">
        <v>1445</v>
      </c>
      <c r="O581" s="11" t="s">
        <v>3213</v>
      </c>
      <c r="P581" s="11" t="s">
        <v>274</v>
      </c>
      <c r="Q581" s="11" t="s">
        <v>34</v>
      </c>
      <c r="R581" s="2">
        <f t="shared" si="235"/>
        <v>351926.52</v>
      </c>
      <c r="S581" s="2">
        <v>351926.52</v>
      </c>
      <c r="T581" s="2">
        <v>0</v>
      </c>
      <c r="U581" s="2">
        <f t="shared" si="236"/>
        <v>62104.69</v>
      </c>
      <c r="V581" s="28">
        <v>62104.69</v>
      </c>
      <c r="W581" s="2">
        <v>0</v>
      </c>
      <c r="X581" s="2">
        <f t="shared" si="237"/>
        <v>0</v>
      </c>
      <c r="Y581" s="2">
        <v>0</v>
      </c>
      <c r="Z581" s="2">
        <v>0</v>
      </c>
      <c r="AA581" s="2">
        <f t="shared" si="238"/>
        <v>8449.61</v>
      </c>
      <c r="AB581" s="2">
        <v>8449.61</v>
      </c>
      <c r="AC581" s="2">
        <v>0</v>
      </c>
      <c r="AD581" s="16">
        <f t="shared" ref="AD581:AD644" si="240">R581+U581+X581+AA581</f>
        <v>422480.82</v>
      </c>
      <c r="AE581" s="2">
        <v>0</v>
      </c>
      <c r="AF581" s="2">
        <f t="shared" si="239"/>
        <v>422480.82</v>
      </c>
      <c r="AG581" s="38" t="s">
        <v>486</v>
      </c>
      <c r="AH581" s="29"/>
      <c r="AI581" s="118">
        <v>0</v>
      </c>
      <c r="AJ581" s="118">
        <v>0</v>
      </c>
      <c r="AK581" s="179"/>
    </row>
    <row r="582" spans="1:37" s="43" customFormat="1" ht="204.75" x14ac:dyDescent="0.25">
      <c r="A582" s="6">
        <v>579</v>
      </c>
      <c r="B582" s="31">
        <v>151534</v>
      </c>
      <c r="C582" s="11">
        <v>1004</v>
      </c>
      <c r="D582" s="11" t="s">
        <v>1638</v>
      </c>
      <c r="E582" s="24" t="s">
        <v>2255</v>
      </c>
      <c r="F582" s="31" t="s">
        <v>3239</v>
      </c>
      <c r="G582" s="27" t="s">
        <v>3238</v>
      </c>
      <c r="H582" s="8" t="s">
        <v>151</v>
      </c>
      <c r="I582" s="46" t="s">
        <v>3246</v>
      </c>
      <c r="J582" s="25">
        <v>44805</v>
      </c>
      <c r="K582" s="25">
        <v>45231</v>
      </c>
      <c r="L582" s="26">
        <f t="shared" si="228"/>
        <v>83.299996030046842</v>
      </c>
      <c r="M582" s="11">
        <v>7</v>
      </c>
      <c r="N582" s="11" t="s">
        <v>226</v>
      </c>
      <c r="O582" s="11" t="s">
        <v>3240</v>
      </c>
      <c r="P582" s="11" t="s">
        <v>274</v>
      </c>
      <c r="Q582" s="11" t="s">
        <v>34</v>
      </c>
      <c r="R582" s="2">
        <f t="shared" si="235"/>
        <v>344954.18</v>
      </c>
      <c r="S582" s="2">
        <v>344954.18</v>
      </c>
      <c r="T582" s="2">
        <v>0</v>
      </c>
      <c r="U582" s="2">
        <f t="shared" si="236"/>
        <v>60874.29</v>
      </c>
      <c r="V582" s="28">
        <v>60874.29</v>
      </c>
      <c r="W582" s="2">
        <v>0</v>
      </c>
      <c r="X582" s="2">
        <f t="shared" si="237"/>
        <v>0</v>
      </c>
      <c r="Y582" s="2">
        <v>0</v>
      </c>
      <c r="Z582" s="2">
        <v>0</v>
      </c>
      <c r="AA582" s="2">
        <f t="shared" si="238"/>
        <v>8282.2099999999991</v>
      </c>
      <c r="AB582" s="2">
        <v>8282.2099999999991</v>
      </c>
      <c r="AC582" s="2">
        <v>0</v>
      </c>
      <c r="AD582" s="16">
        <f t="shared" si="240"/>
        <v>414110.68</v>
      </c>
      <c r="AE582" s="2">
        <v>0</v>
      </c>
      <c r="AF582" s="2">
        <f t="shared" si="239"/>
        <v>414110.68</v>
      </c>
      <c r="AG582" s="38" t="s">
        <v>486</v>
      </c>
      <c r="AH582" s="29"/>
      <c r="AI582" s="118">
        <f>41150</f>
        <v>41150</v>
      </c>
      <c r="AJ582" s="118">
        <v>0</v>
      </c>
      <c r="AK582" s="179"/>
    </row>
    <row r="583" spans="1:37" s="43" customFormat="1" ht="204.75" x14ac:dyDescent="0.25">
      <c r="A583" s="6">
        <v>580</v>
      </c>
      <c r="B583" s="31">
        <v>151562</v>
      </c>
      <c r="C583" s="11">
        <v>1014</v>
      </c>
      <c r="D583" s="11" t="s">
        <v>1638</v>
      </c>
      <c r="E583" s="24" t="s">
        <v>2255</v>
      </c>
      <c r="F583" s="31" t="s">
        <v>3242</v>
      </c>
      <c r="G583" s="27" t="s">
        <v>3241</v>
      </c>
      <c r="H583" s="8" t="s">
        <v>151</v>
      </c>
      <c r="I583" s="46" t="s">
        <v>3247</v>
      </c>
      <c r="J583" s="25">
        <v>44806</v>
      </c>
      <c r="K583" s="25">
        <v>45232</v>
      </c>
      <c r="L583" s="26">
        <f t="shared" si="228"/>
        <v>83.299996030046842</v>
      </c>
      <c r="M583" s="11">
        <v>6</v>
      </c>
      <c r="N583" s="11" t="s">
        <v>182</v>
      </c>
      <c r="O583" s="11" t="s">
        <v>3243</v>
      </c>
      <c r="P583" s="11" t="s">
        <v>274</v>
      </c>
      <c r="Q583" s="11" t="s">
        <v>34</v>
      </c>
      <c r="R583" s="2">
        <f t="shared" si="235"/>
        <v>344954.18</v>
      </c>
      <c r="S583" s="2">
        <v>344954.18</v>
      </c>
      <c r="T583" s="2">
        <v>0</v>
      </c>
      <c r="U583" s="2">
        <f t="shared" si="236"/>
        <v>60874.29</v>
      </c>
      <c r="V583" s="28">
        <v>60874.29</v>
      </c>
      <c r="W583" s="2">
        <v>0</v>
      </c>
      <c r="X583" s="2">
        <f t="shared" si="237"/>
        <v>0</v>
      </c>
      <c r="Y583" s="2">
        <v>0</v>
      </c>
      <c r="Z583" s="2">
        <v>0</v>
      </c>
      <c r="AA583" s="2">
        <f t="shared" si="238"/>
        <v>8282.2099999999991</v>
      </c>
      <c r="AB583" s="2">
        <v>8282.2099999999991</v>
      </c>
      <c r="AC583" s="2">
        <v>0</v>
      </c>
      <c r="AD583" s="16">
        <f t="shared" si="240"/>
        <v>414110.68</v>
      </c>
      <c r="AE583" s="2">
        <v>0</v>
      </c>
      <c r="AF583" s="2">
        <f t="shared" si="239"/>
        <v>414110.68</v>
      </c>
      <c r="AG583" s="38" t="s">
        <v>486</v>
      </c>
      <c r="AH583" s="29"/>
      <c r="AI583" s="118">
        <f>41150</f>
        <v>41150</v>
      </c>
      <c r="AJ583" s="118">
        <v>0</v>
      </c>
      <c r="AK583" s="179"/>
    </row>
    <row r="584" spans="1:37" s="43" customFormat="1" ht="299.25" x14ac:dyDescent="0.25">
      <c r="A584" s="6">
        <v>581</v>
      </c>
      <c r="B584" s="31">
        <v>150703</v>
      </c>
      <c r="C584" s="11">
        <v>882</v>
      </c>
      <c r="D584" s="11" t="s">
        <v>1638</v>
      </c>
      <c r="E584" s="24" t="s">
        <v>2255</v>
      </c>
      <c r="F584" s="31" t="s">
        <v>3276</v>
      </c>
      <c r="G584" s="27" t="s">
        <v>3275</v>
      </c>
      <c r="H584" s="8" t="s">
        <v>151</v>
      </c>
      <c r="I584" s="46" t="s">
        <v>3277</v>
      </c>
      <c r="J584" s="25">
        <v>44818</v>
      </c>
      <c r="K584" s="25">
        <v>45183</v>
      </c>
      <c r="L584" s="26">
        <f t="shared" si="228"/>
        <v>83.300000515057718</v>
      </c>
      <c r="M584" s="11">
        <v>4</v>
      </c>
      <c r="N584" s="11" t="s">
        <v>499</v>
      </c>
      <c r="O584" s="11" t="s">
        <v>3278</v>
      </c>
      <c r="P584" s="11" t="s">
        <v>274</v>
      </c>
      <c r="Q584" s="11" t="s">
        <v>34</v>
      </c>
      <c r="R584" s="2">
        <f t="shared" si="235"/>
        <v>323458.90000000002</v>
      </c>
      <c r="S584" s="2">
        <v>323458.90000000002</v>
      </c>
      <c r="T584" s="2">
        <v>0</v>
      </c>
      <c r="U584" s="2">
        <f t="shared" si="236"/>
        <v>57080.98</v>
      </c>
      <c r="V584" s="28">
        <v>57080.98</v>
      </c>
      <c r="W584" s="2">
        <v>0</v>
      </c>
      <c r="X584" s="2">
        <f t="shared" si="237"/>
        <v>0</v>
      </c>
      <c r="Y584" s="2">
        <v>0</v>
      </c>
      <c r="Z584" s="2">
        <v>0</v>
      </c>
      <c r="AA584" s="2">
        <f t="shared" si="238"/>
        <v>7766.12</v>
      </c>
      <c r="AB584" s="2">
        <v>7766.12</v>
      </c>
      <c r="AC584" s="2">
        <v>0</v>
      </c>
      <c r="AD584" s="16">
        <f t="shared" si="240"/>
        <v>388306</v>
      </c>
      <c r="AE584" s="2">
        <v>0</v>
      </c>
      <c r="AF584" s="2">
        <f t="shared" si="239"/>
        <v>388306</v>
      </c>
      <c r="AG584" s="38" t="s">
        <v>486</v>
      </c>
      <c r="AH584" s="29"/>
      <c r="AI584" s="118">
        <v>38830</v>
      </c>
      <c r="AJ584" s="118">
        <v>0</v>
      </c>
      <c r="AK584" s="179"/>
    </row>
    <row r="585" spans="1:37" s="43" customFormat="1" ht="157.5" x14ac:dyDescent="0.25">
      <c r="A585" s="6">
        <v>582</v>
      </c>
      <c r="B585" s="31">
        <v>151440</v>
      </c>
      <c r="C585" s="11">
        <v>960</v>
      </c>
      <c r="D585" s="11" t="s">
        <v>1638</v>
      </c>
      <c r="E585" s="24" t="s">
        <v>2297</v>
      </c>
      <c r="F585" s="31" t="s">
        <v>2296</v>
      </c>
      <c r="G585" s="27" t="s">
        <v>2295</v>
      </c>
      <c r="H585" s="8" t="s">
        <v>151</v>
      </c>
      <c r="I585" s="46" t="s">
        <v>2920</v>
      </c>
      <c r="J585" s="25">
        <v>44735</v>
      </c>
      <c r="K585" s="25">
        <v>45161</v>
      </c>
      <c r="L585" s="26">
        <f t="shared" si="228"/>
        <v>78.400002703336</v>
      </c>
      <c r="M585" s="11">
        <v>8</v>
      </c>
      <c r="N585" s="11" t="s">
        <v>691</v>
      </c>
      <c r="O585" s="11" t="s">
        <v>691</v>
      </c>
      <c r="P585" s="11" t="s">
        <v>274</v>
      </c>
      <c r="Q585" s="11" t="s">
        <v>34</v>
      </c>
      <c r="R585" s="2">
        <f t="shared" ref="R585:R603" si="241">S585+T585</f>
        <v>331773.78999999998</v>
      </c>
      <c r="S585" s="2">
        <v>0</v>
      </c>
      <c r="T585" s="2">
        <v>331773.78999999998</v>
      </c>
      <c r="U585" s="2">
        <f t="shared" ref="U585:U603" si="242">V585+W585</f>
        <v>82943.429999999993</v>
      </c>
      <c r="V585" s="28">
        <v>0</v>
      </c>
      <c r="W585" s="28">
        <v>82943.429999999993</v>
      </c>
      <c r="X585" s="2">
        <f t="shared" ref="X585:X603" si="243">Y585+Z585</f>
        <v>0</v>
      </c>
      <c r="Y585" s="2">
        <v>0</v>
      </c>
      <c r="Z585" s="2">
        <v>0</v>
      </c>
      <c r="AA585" s="2">
        <f t="shared" ref="AA585:AA603" si="244">AB585+AC585</f>
        <v>8463.6200000000008</v>
      </c>
      <c r="AB585" s="2">
        <v>0</v>
      </c>
      <c r="AC585" s="2">
        <v>8463.6200000000008</v>
      </c>
      <c r="AD585" s="16">
        <f t="shared" si="240"/>
        <v>423180.83999999997</v>
      </c>
      <c r="AE585" s="2">
        <v>2150</v>
      </c>
      <c r="AF585" s="2">
        <f t="shared" ref="AF585:AF603" si="245">AD585+AE585</f>
        <v>425330.83999999997</v>
      </c>
      <c r="AG585" s="38" t="s">
        <v>486</v>
      </c>
      <c r="AH585" s="29"/>
      <c r="AI585" s="118">
        <v>42318.080000000002</v>
      </c>
      <c r="AJ585" s="30">
        <v>0</v>
      </c>
      <c r="AK585" s="179"/>
    </row>
    <row r="586" spans="1:37" s="43" customFormat="1" ht="157.5" customHeight="1" x14ac:dyDescent="0.25">
      <c r="A586" s="6">
        <v>583</v>
      </c>
      <c r="B586" s="31">
        <v>151443</v>
      </c>
      <c r="C586" s="11">
        <v>1086</v>
      </c>
      <c r="D586" s="11" t="s">
        <v>1638</v>
      </c>
      <c r="E586" s="24" t="s">
        <v>2297</v>
      </c>
      <c r="F586" s="31" t="s">
        <v>2342</v>
      </c>
      <c r="G586" s="27" t="s">
        <v>2341</v>
      </c>
      <c r="H586" s="8" t="s">
        <v>151</v>
      </c>
      <c r="I586" s="46" t="s">
        <v>2921</v>
      </c>
      <c r="J586" s="25">
        <v>44743</v>
      </c>
      <c r="K586" s="25">
        <v>45108</v>
      </c>
      <c r="L586" s="26">
        <f t="shared" si="228"/>
        <v>78.400003406603687</v>
      </c>
      <c r="M586" s="11">
        <v>8</v>
      </c>
      <c r="N586" s="11" t="s">
        <v>691</v>
      </c>
      <c r="O586" s="11" t="s">
        <v>716</v>
      </c>
      <c r="P586" s="11" t="s">
        <v>274</v>
      </c>
      <c r="Q586" s="11" t="s">
        <v>34</v>
      </c>
      <c r="R586" s="2">
        <f t="shared" si="241"/>
        <v>322197.75</v>
      </c>
      <c r="S586" s="2">
        <v>0</v>
      </c>
      <c r="T586" s="2">
        <v>322197.75</v>
      </c>
      <c r="U586" s="2">
        <f t="shared" si="242"/>
        <v>80549.41</v>
      </c>
      <c r="V586" s="28">
        <v>0</v>
      </c>
      <c r="W586" s="28">
        <v>80549.41</v>
      </c>
      <c r="X586" s="2">
        <f t="shared" si="243"/>
        <v>0</v>
      </c>
      <c r="Y586" s="2">
        <v>0</v>
      </c>
      <c r="Z586" s="2">
        <v>0</v>
      </c>
      <c r="AA586" s="2">
        <f t="shared" si="244"/>
        <v>8219.34</v>
      </c>
      <c r="AB586" s="2">
        <v>0</v>
      </c>
      <c r="AC586" s="2">
        <v>8219.34</v>
      </c>
      <c r="AD586" s="16">
        <f t="shared" si="240"/>
        <v>410966.50000000006</v>
      </c>
      <c r="AE586" s="2">
        <v>0</v>
      </c>
      <c r="AF586" s="2">
        <f t="shared" si="245"/>
        <v>410966.50000000006</v>
      </c>
      <c r="AG586" s="38" t="s">
        <v>486</v>
      </c>
      <c r="AH586" s="29"/>
      <c r="AI586" s="118">
        <v>41096.65</v>
      </c>
      <c r="AJ586" s="30">
        <v>0</v>
      </c>
      <c r="AK586" s="179"/>
    </row>
    <row r="587" spans="1:37" s="43" customFormat="1" ht="173.25" x14ac:dyDescent="0.25">
      <c r="A587" s="6">
        <v>584</v>
      </c>
      <c r="B587" s="31">
        <v>151482</v>
      </c>
      <c r="C587" s="11">
        <v>963</v>
      </c>
      <c r="D587" s="11" t="s">
        <v>1638</v>
      </c>
      <c r="E587" s="24" t="s">
        <v>2297</v>
      </c>
      <c r="F587" s="31" t="s">
        <v>2350</v>
      </c>
      <c r="G587" s="27" t="s">
        <v>2351</v>
      </c>
      <c r="H587" s="8" t="s">
        <v>151</v>
      </c>
      <c r="I587" s="46" t="s">
        <v>2922</v>
      </c>
      <c r="J587" s="25">
        <v>44746</v>
      </c>
      <c r="K587" s="25">
        <v>45173</v>
      </c>
      <c r="L587" s="26">
        <f t="shared" si="228"/>
        <v>78.400000705183658</v>
      </c>
      <c r="M587" s="11">
        <v>8</v>
      </c>
      <c r="N587" s="11" t="s">
        <v>691</v>
      </c>
      <c r="O587" s="11" t="s">
        <v>2352</v>
      </c>
      <c r="P587" s="11" t="s">
        <v>274</v>
      </c>
      <c r="Q587" s="11" t="s">
        <v>34</v>
      </c>
      <c r="R587" s="2">
        <f t="shared" si="241"/>
        <v>329083.07</v>
      </c>
      <c r="S587" s="2">
        <v>0</v>
      </c>
      <c r="T587" s="2">
        <v>329083.07</v>
      </c>
      <c r="U587" s="2">
        <f t="shared" si="242"/>
        <v>82270.759999999995</v>
      </c>
      <c r="V587" s="28">
        <v>0</v>
      </c>
      <c r="W587" s="28">
        <v>82270.759999999995</v>
      </c>
      <c r="X587" s="2">
        <f t="shared" si="243"/>
        <v>0</v>
      </c>
      <c r="Y587" s="2">
        <v>0</v>
      </c>
      <c r="Z587" s="2">
        <v>0</v>
      </c>
      <c r="AA587" s="2">
        <f t="shared" si="244"/>
        <v>8394.98</v>
      </c>
      <c r="AB587" s="2">
        <v>0</v>
      </c>
      <c r="AC587" s="2">
        <v>8394.98</v>
      </c>
      <c r="AD587" s="16">
        <f t="shared" si="240"/>
        <v>419748.81</v>
      </c>
      <c r="AE587" s="2">
        <v>0</v>
      </c>
      <c r="AF587" s="2">
        <f t="shared" si="245"/>
        <v>419748.81</v>
      </c>
      <c r="AG587" s="38" t="s">
        <v>486</v>
      </c>
      <c r="AH587" s="29"/>
      <c r="AI587" s="118">
        <f>41974.88+16224.1</f>
        <v>58198.979999999996</v>
      </c>
      <c r="AJ587" s="30">
        <f>4056.02</f>
        <v>4056.02</v>
      </c>
      <c r="AK587" s="179"/>
    </row>
    <row r="588" spans="1:37" s="43" customFormat="1" ht="157.5" x14ac:dyDescent="0.25">
      <c r="A588" s="6">
        <v>585</v>
      </c>
      <c r="B588" s="31">
        <v>151411</v>
      </c>
      <c r="C588" s="11">
        <v>1084</v>
      </c>
      <c r="D588" s="11" t="s">
        <v>1638</v>
      </c>
      <c r="E588" s="24" t="s">
        <v>2297</v>
      </c>
      <c r="F588" s="31" t="s">
        <v>2367</v>
      </c>
      <c r="G588" s="27" t="s">
        <v>2366</v>
      </c>
      <c r="H588" s="8" t="s">
        <v>151</v>
      </c>
      <c r="I588" s="46" t="s">
        <v>2368</v>
      </c>
      <c r="J588" s="25">
        <v>44750</v>
      </c>
      <c r="K588" s="25">
        <v>45177</v>
      </c>
      <c r="L588" s="26">
        <f t="shared" si="228"/>
        <v>78.399998581950825</v>
      </c>
      <c r="M588" s="11">
        <v>8</v>
      </c>
      <c r="N588" s="11" t="s">
        <v>261</v>
      </c>
      <c r="O588" s="11" t="s">
        <v>261</v>
      </c>
      <c r="P588" s="11" t="s">
        <v>274</v>
      </c>
      <c r="Q588" s="11" t="s">
        <v>34</v>
      </c>
      <c r="R588" s="2">
        <f t="shared" si="241"/>
        <v>331723.33</v>
      </c>
      <c r="S588" s="2">
        <v>0</v>
      </c>
      <c r="T588" s="2">
        <v>331723.33</v>
      </c>
      <c r="U588" s="2">
        <f t="shared" si="242"/>
        <v>82930.84</v>
      </c>
      <c r="V588" s="28">
        <v>0</v>
      </c>
      <c r="W588" s="28">
        <v>82930.84</v>
      </c>
      <c r="X588" s="2">
        <f t="shared" si="243"/>
        <v>0</v>
      </c>
      <c r="Y588" s="2">
        <v>0</v>
      </c>
      <c r="Z588" s="2">
        <v>0</v>
      </c>
      <c r="AA588" s="2">
        <f t="shared" si="244"/>
        <v>8462.33</v>
      </c>
      <c r="AB588" s="2">
        <v>0</v>
      </c>
      <c r="AC588" s="2">
        <v>8462.33</v>
      </c>
      <c r="AD588" s="16">
        <f t="shared" si="240"/>
        <v>423116.50000000006</v>
      </c>
      <c r="AE588" s="2">
        <v>0</v>
      </c>
      <c r="AF588" s="2">
        <f t="shared" si="245"/>
        <v>423116.50000000006</v>
      </c>
      <c r="AG588" s="38" t="s">
        <v>486</v>
      </c>
      <c r="AH588" s="29"/>
      <c r="AI588" s="118">
        <v>42310</v>
      </c>
      <c r="AJ588" s="30">
        <v>0</v>
      </c>
      <c r="AK588" s="179"/>
    </row>
    <row r="589" spans="1:37" s="43" customFormat="1" ht="141.75" x14ac:dyDescent="0.25">
      <c r="A589" s="6">
        <v>586</v>
      </c>
      <c r="B589" s="31">
        <v>150612</v>
      </c>
      <c r="C589" s="11">
        <v>958</v>
      </c>
      <c r="D589" s="11" t="s">
        <v>1638</v>
      </c>
      <c r="E589" s="24" t="s">
        <v>2297</v>
      </c>
      <c r="F589" s="31" t="s">
        <v>2374</v>
      </c>
      <c r="G589" s="27" t="s">
        <v>2373</v>
      </c>
      <c r="H589" s="8" t="s">
        <v>151</v>
      </c>
      <c r="I589" s="46" t="s">
        <v>2375</v>
      </c>
      <c r="J589" s="25">
        <v>44753</v>
      </c>
      <c r="K589" s="25">
        <v>45118</v>
      </c>
      <c r="L589" s="26">
        <f t="shared" si="228"/>
        <v>78.400002825610386</v>
      </c>
      <c r="M589" s="11">
        <v>8</v>
      </c>
      <c r="N589" s="11" t="s">
        <v>261</v>
      </c>
      <c r="O589" s="11" t="s">
        <v>261</v>
      </c>
      <c r="P589" s="11" t="s">
        <v>274</v>
      </c>
      <c r="Q589" s="11" t="s">
        <v>34</v>
      </c>
      <c r="R589" s="2">
        <f t="shared" si="241"/>
        <v>332954.62</v>
      </c>
      <c r="S589" s="2">
        <v>0</v>
      </c>
      <c r="T589" s="2">
        <v>332954.62</v>
      </c>
      <c r="U589" s="2">
        <f t="shared" si="242"/>
        <v>83238.64</v>
      </c>
      <c r="V589" s="28">
        <v>0</v>
      </c>
      <c r="W589" s="28">
        <v>83238.64</v>
      </c>
      <c r="X589" s="2">
        <f t="shared" si="243"/>
        <v>0</v>
      </c>
      <c r="Y589" s="2">
        <v>0</v>
      </c>
      <c r="Z589" s="2">
        <v>0</v>
      </c>
      <c r="AA589" s="2">
        <f t="shared" si="244"/>
        <v>8493.74</v>
      </c>
      <c r="AB589" s="2">
        <v>0</v>
      </c>
      <c r="AC589" s="2">
        <v>8493.74</v>
      </c>
      <c r="AD589" s="16">
        <f t="shared" si="240"/>
        <v>424687</v>
      </c>
      <c r="AE589" s="2">
        <v>0</v>
      </c>
      <c r="AF589" s="2">
        <f t="shared" si="245"/>
        <v>424687</v>
      </c>
      <c r="AG589" s="38" t="s">
        <v>486</v>
      </c>
      <c r="AH589" s="29"/>
      <c r="AI589" s="118">
        <v>42468.7</v>
      </c>
      <c r="AJ589" s="30">
        <v>0</v>
      </c>
      <c r="AK589" s="179"/>
    </row>
    <row r="590" spans="1:37" s="43" customFormat="1" ht="141.75" x14ac:dyDescent="0.25">
      <c r="A590" s="6">
        <v>587</v>
      </c>
      <c r="B590" s="31">
        <v>151037</v>
      </c>
      <c r="C590" s="11">
        <v>964</v>
      </c>
      <c r="D590" s="11" t="s">
        <v>1638</v>
      </c>
      <c r="E590" s="24" t="s">
        <v>2297</v>
      </c>
      <c r="F590" s="31" t="s">
        <v>2377</v>
      </c>
      <c r="G590" s="27" t="s">
        <v>2376</v>
      </c>
      <c r="H590" s="8" t="s">
        <v>151</v>
      </c>
      <c r="I590" s="46" t="s">
        <v>2923</v>
      </c>
      <c r="J590" s="25">
        <v>44753</v>
      </c>
      <c r="K590" s="25">
        <v>45180</v>
      </c>
      <c r="L590" s="26">
        <f t="shared" si="228"/>
        <v>78.400002120199403</v>
      </c>
      <c r="M590" s="11">
        <v>8</v>
      </c>
      <c r="N590" s="11" t="s">
        <v>261</v>
      </c>
      <c r="O590" s="11" t="s">
        <v>261</v>
      </c>
      <c r="P590" s="11" t="s">
        <v>274</v>
      </c>
      <c r="Q590" s="11" t="s">
        <v>34</v>
      </c>
      <c r="R590" s="2">
        <f t="shared" si="241"/>
        <v>295821.24</v>
      </c>
      <c r="S590" s="2">
        <v>0</v>
      </c>
      <c r="T590" s="2">
        <v>295821.24</v>
      </c>
      <c r="U590" s="2">
        <f t="shared" si="242"/>
        <v>73955.3</v>
      </c>
      <c r="V590" s="28">
        <v>0</v>
      </c>
      <c r="W590" s="28">
        <v>73955.3</v>
      </c>
      <c r="X590" s="2">
        <f t="shared" si="243"/>
        <v>0</v>
      </c>
      <c r="Y590" s="2">
        <v>0</v>
      </c>
      <c r="Z590" s="2">
        <v>0</v>
      </c>
      <c r="AA590" s="2">
        <f t="shared" si="244"/>
        <v>7546.46</v>
      </c>
      <c r="AB590" s="2">
        <v>0</v>
      </c>
      <c r="AC590" s="2">
        <v>7546.46</v>
      </c>
      <c r="AD590" s="16">
        <f t="shared" si="240"/>
        <v>377323</v>
      </c>
      <c r="AE590" s="2">
        <v>0</v>
      </c>
      <c r="AF590" s="2">
        <f t="shared" si="245"/>
        <v>377323</v>
      </c>
      <c r="AG590" s="38" t="s">
        <v>486</v>
      </c>
      <c r="AH590" s="29"/>
      <c r="AI590" s="118">
        <v>37732.300000000003</v>
      </c>
      <c r="AJ590" s="30">
        <v>0</v>
      </c>
      <c r="AK590" s="179"/>
    </row>
    <row r="591" spans="1:37" s="43" customFormat="1" ht="204.75" customHeight="1" x14ac:dyDescent="0.25">
      <c r="A591" s="6">
        <v>588</v>
      </c>
      <c r="B591" s="31">
        <v>151409</v>
      </c>
      <c r="C591" s="11">
        <v>896</v>
      </c>
      <c r="D591" s="11" t="s">
        <v>1638</v>
      </c>
      <c r="E591" s="24" t="s">
        <v>2297</v>
      </c>
      <c r="F591" s="31" t="s">
        <v>2429</v>
      </c>
      <c r="G591" s="27" t="s">
        <v>2428</v>
      </c>
      <c r="H591" s="8" t="s">
        <v>151</v>
      </c>
      <c r="I591" s="46" t="s">
        <v>2430</v>
      </c>
      <c r="J591" s="25">
        <v>44762</v>
      </c>
      <c r="K591" s="25">
        <v>45127</v>
      </c>
      <c r="L591" s="26">
        <f t="shared" si="228"/>
        <v>78.399999911675167</v>
      </c>
      <c r="M591" s="11">
        <v>8</v>
      </c>
      <c r="N591" s="11" t="s">
        <v>691</v>
      </c>
      <c r="O591" s="11" t="s">
        <v>2431</v>
      </c>
      <c r="P591" s="11" t="s">
        <v>274</v>
      </c>
      <c r="Q591" s="11" t="s">
        <v>34</v>
      </c>
      <c r="R591" s="2">
        <f t="shared" si="241"/>
        <v>284042.40000000002</v>
      </c>
      <c r="S591" s="2">
        <v>0</v>
      </c>
      <c r="T591" s="2">
        <v>284042.40000000002</v>
      </c>
      <c r="U591" s="2">
        <f t="shared" si="242"/>
        <v>71010.600000000006</v>
      </c>
      <c r="V591" s="28">
        <v>0</v>
      </c>
      <c r="W591" s="28">
        <v>71010.600000000006</v>
      </c>
      <c r="X591" s="2">
        <f t="shared" si="243"/>
        <v>0</v>
      </c>
      <c r="Y591" s="2">
        <v>0</v>
      </c>
      <c r="Z591" s="2">
        <v>0</v>
      </c>
      <c r="AA591" s="2">
        <f t="shared" si="244"/>
        <v>7245.98</v>
      </c>
      <c r="AB591" s="2">
        <v>0</v>
      </c>
      <c r="AC591" s="2">
        <v>7245.98</v>
      </c>
      <c r="AD591" s="16">
        <f t="shared" si="240"/>
        <v>362298.98</v>
      </c>
      <c r="AE591" s="2">
        <v>0</v>
      </c>
      <c r="AF591" s="2">
        <f t="shared" si="245"/>
        <v>362298.98</v>
      </c>
      <c r="AG591" s="38" t="s">
        <v>486</v>
      </c>
      <c r="AH591" s="29"/>
      <c r="AI591" s="118">
        <v>35505.300000000003</v>
      </c>
      <c r="AJ591" s="30">
        <v>0</v>
      </c>
      <c r="AK591" s="179"/>
    </row>
    <row r="592" spans="1:37" s="43" customFormat="1" ht="220.5" customHeight="1" x14ac:dyDescent="0.25">
      <c r="A592" s="6">
        <v>589</v>
      </c>
      <c r="B592" s="31">
        <v>151435</v>
      </c>
      <c r="C592" s="11">
        <v>1085</v>
      </c>
      <c r="D592" s="11" t="s">
        <v>1638</v>
      </c>
      <c r="E592" s="24" t="s">
        <v>2297</v>
      </c>
      <c r="F592" s="31" t="s">
        <v>2590</v>
      </c>
      <c r="G592" s="27" t="s">
        <v>2589</v>
      </c>
      <c r="H592" s="8" t="s">
        <v>151</v>
      </c>
      <c r="I592" s="46" t="s">
        <v>2924</v>
      </c>
      <c r="J592" s="25">
        <v>44774</v>
      </c>
      <c r="K592" s="25">
        <v>45200</v>
      </c>
      <c r="L592" s="26">
        <f t="shared" si="228"/>
        <v>78.400002490219634</v>
      </c>
      <c r="M592" s="11">
        <v>8</v>
      </c>
      <c r="N592" s="11" t="s">
        <v>137</v>
      </c>
      <c r="O592" s="11" t="s">
        <v>137</v>
      </c>
      <c r="P592" s="11" t="s">
        <v>274</v>
      </c>
      <c r="Q592" s="11" t="s">
        <v>34</v>
      </c>
      <c r="R592" s="2">
        <f t="shared" si="241"/>
        <v>294682.45</v>
      </c>
      <c r="S592" s="2">
        <v>0</v>
      </c>
      <c r="T592" s="2">
        <v>294682.45</v>
      </c>
      <c r="U592" s="2">
        <f t="shared" si="242"/>
        <v>73670.600000000006</v>
      </c>
      <c r="V592" s="28">
        <v>0</v>
      </c>
      <c r="W592" s="28">
        <v>73670.600000000006</v>
      </c>
      <c r="X592" s="2">
        <f t="shared" si="243"/>
        <v>0</v>
      </c>
      <c r="Y592" s="2">
        <v>0</v>
      </c>
      <c r="Z592" s="2">
        <v>0</v>
      </c>
      <c r="AA592" s="2">
        <f t="shared" si="244"/>
        <v>7517.41</v>
      </c>
      <c r="AB592" s="2">
        <v>0</v>
      </c>
      <c r="AC592" s="2">
        <v>7517.41</v>
      </c>
      <c r="AD592" s="16">
        <f t="shared" si="240"/>
        <v>375870.46</v>
      </c>
      <c r="AE592" s="2">
        <v>0</v>
      </c>
      <c r="AF592" s="2">
        <f t="shared" si="245"/>
        <v>375870.46</v>
      </c>
      <c r="AG592" s="38" t="s">
        <v>486</v>
      </c>
      <c r="AH592" s="29"/>
      <c r="AI592" s="118">
        <v>37500</v>
      </c>
      <c r="AJ592" s="30">
        <v>0</v>
      </c>
      <c r="AK592" s="179"/>
    </row>
    <row r="593" spans="1:37" s="43" customFormat="1" ht="141.75" x14ac:dyDescent="0.25">
      <c r="A593" s="6">
        <v>590</v>
      </c>
      <c r="B593" s="31">
        <v>151211</v>
      </c>
      <c r="C593" s="11">
        <v>1077</v>
      </c>
      <c r="D593" s="11" t="s">
        <v>1638</v>
      </c>
      <c r="E593" s="24" t="s">
        <v>2297</v>
      </c>
      <c r="F593" s="31" t="s">
        <v>2588</v>
      </c>
      <c r="G593" s="27" t="s">
        <v>521</v>
      </c>
      <c r="H593" s="8" t="s">
        <v>151</v>
      </c>
      <c r="I593" s="46" t="s">
        <v>2925</v>
      </c>
      <c r="J593" s="25">
        <v>44774</v>
      </c>
      <c r="K593" s="25">
        <v>45200</v>
      </c>
      <c r="L593" s="26">
        <f t="shared" si="228"/>
        <v>78.400002077069672</v>
      </c>
      <c r="M593" s="11">
        <v>8</v>
      </c>
      <c r="N593" s="11" t="s">
        <v>137</v>
      </c>
      <c r="O593" s="11" t="s">
        <v>137</v>
      </c>
      <c r="P593" s="11" t="s">
        <v>274</v>
      </c>
      <c r="Q593" s="11" t="s">
        <v>34</v>
      </c>
      <c r="R593" s="2">
        <f t="shared" si="241"/>
        <v>301963.88</v>
      </c>
      <c r="S593" s="2">
        <v>0</v>
      </c>
      <c r="T593" s="2">
        <v>301963.88</v>
      </c>
      <c r="U593" s="2">
        <f t="shared" si="242"/>
        <v>75490.960000000006</v>
      </c>
      <c r="V593" s="28">
        <v>0</v>
      </c>
      <c r="W593" s="28">
        <v>75490.960000000006</v>
      </c>
      <c r="X593" s="2">
        <f t="shared" si="243"/>
        <v>0</v>
      </c>
      <c r="Y593" s="2">
        <v>0</v>
      </c>
      <c r="Z593" s="2">
        <v>0</v>
      </c>
      <c r="AA593" s="2">
        <f t="shared" si="244"/>
        <v>7703.16</v>
      </c>
      <c r="AB593" s="2">
        <v>0</v>
      </c>
      <c r="AC593" s="2">
        <v>7703.16</v>
      </c>
      <c r="AD593" s="16">
        <f t="shared" si="240"/>
        <v>385158</v>
      </c>
      <c r="AE593" s="2">
        <v>0</v>
      </c>
      <c r="AF593" s="2">
        <f t="shared" si="245"/>
        <v>385158</v>
      </c>
      <c r="AG593" s="38" t="s">
        <v>486</v>
      </c>
      <c r="AH593" s="29"/>
      <c r="AI593" s="118">
        <v>38515</v>
      </c>
      <c r="AJ593" s="30">
        <v>0</v>
      </c>
      <c r="AK593" s="179"/>
    </row>
    <row r="594" spans="1:37" s="43" customFormat="1" ht="220.5" x14ac:dyDescent="0.25">
      <c r="A594" s="6">
        <v>591</v>
      </c>
      <c r="B594" s="31">
        <v>151576</v>
      </c>
      <c r="C594" s="11">
        <v>1098</v>
      </c>
      <c r="D594" s="11" t="s">
        <v>1638</v>
      </c>
      <c r="E594" s="24" t="s">
        <v>2297</v>
      </c>
      <c r="F594" s="31" t="s">
        <v>3127</v>
      </c>
      <c r="G594" s="27" t="s">
        <v>3126</v>
      </c>
      <c r="H594" s="8" t="s">
        <v>151</v>
      </c>
      <c r="I594" s="46" t="s">
        <v>3128</v>
      </c>
      <c r="J594" s="25">
        <v>44790</v>
      </c>
      <c r="K594" s="25">
        <v>45216</v>
      </c>
      <c r="L594" s="26">
        <f t="shared" si="228"/>
        <v>78.399997607769961</v>
      </c>
      <c r="M594" s="11">
        <v>8</v>
      </c>
      <c r="N594" s="11" t="s">
        <v>691</v>
      </c>
      <c r="O594" s="11" t="s">
        <v>3129</v>
      </c>
      <c r="P594" s="11" t="s">
        <v>274</v>
      </c>
      <c r="Q594" s="11" t="s">
        <v>34</v>
      </c>
      <c r="R594" s="2">
        <f t="shared" si="241"/>
        <v>327727.67</v>
      </c>
      <c r="S594" s="2">
        <v>0</v>
      </c>
      <c r="T594" s="2">
        <v>327727.67</v>
      </c>
      <c r="U594" s="2">
        <f t="shared" si="242"/>
        <v>81931.92</v>
      </c>
      <c r="V594" s="28">
        <v>0</v>
      </c>
      <c r="W594" s="28">
        <v>81931.92</v>
      </c>
      <c r="X594" s="2">
        <f t="shared" si="243"/>
        <v>0</v>
      </c>
      <c r="Y594" s="2">
        <v>0</v>
      </c>
      <c r="Z594" s="2">
        <v>0</v>
      </c>
      <c r="AA594" s="2">
        <f t="shared" si="244"/>
        <v>8360.41</v>
      </c>
      <c r="AB594" s="2">
        <v>0</v>
      </c>
      <c r="AC594" s="2">
        <v>8360.41</v>
      </c>
      <c r="AD594" s="16">
        <f t="shared" si="240"/>
        <v>418019.99999999994</v>
      </c>
      <c r="AE594" s="2">
        <v>0</v>
      </c>
      <c r="AF594" s="2">
        <f t="shared" si="245"/>
        <v>418019.99999999994</v>
      </c>
      <c r="AG594" s="38" t="s">
        <v>486</v>
      </c>
      <c r="AH594" s="29"/>
      <c r="AI594" s="118">
        <v>41800</v>
      </c>
      <c r="AJ594" s="30">
        <v>0</v>
      </c>
      <c r="AK594" s="179"/>
    </row>
    <row r="595" spans="1:37" s="43" customFormat="1" ht="267.75" x14ac:dyDescent="0.25">
      <c r="A595" s="6">
        <v>592</v>
      </c>
      <c r="B595" s="31">
        <v>151510</v>
      </c>
      <c r="C595" s="11">
        <v>1078</v>
      </c>
      <c r="D595" s="11" t="s">
        <v>1638</v>
      </c>
      <c r="E595" s="24" t="s">
        <v>2297</v>
      </c>
      <c r="F595" s="31" t="s">
        <v>3215</v>
      </c>
      <c r="G595" s="27" t="s">
        <v>3172</v>
      </c>
      <c r="H595" s="8" t="s">
        <v>151</v>
      </c>
      <c r="I595" s="46" t="s">
        <v>3217</v>
      </c>
      <c r="J595" s="25">
        <v>44803</v>
      </c>
      <c r="K595" s="25">
        <v>44985</v>
      </c>
      <c r="L595" s="26">
        <f t="shared" si="228"/>
        <v>78.40000261872072</v>
      </c>
      <c r="M595" s="11">
        <v>8</v>
      </c>
      <c r="N595" s="11" t="s">
        <v>691</v>
      </c>
      <c r="O595" s="11" t="s">
        <v>3216</v>
      </c>
      <c r="P595" s="11" t="s">
        <v>274</v>
      </c>
      <c r="Q595" s="11" t="s">
        <v>34</v>
      </c>
      <c r="R595" s="2">
        <f t="shared" si="241"/>
        <v>332913.71000000002</v>
      </c>
      <c r="S595" s="2">
        <v>0</v>
      </c>
      <c r="T595" s="2">
        <v>332913.71000000002</v>
      </c>
      <c r="U595" s="2">
        <f t="shared" si="242"/>
        <v>83228.42</v>
      </c>
      <c r="V595" s="2">
        <v>0</v>
      </c>
      <c r="W595" s="28">
        <v>83228.42</v>
      </c>
      <c r="X595" s="2">
        <f t="shared" si="243"/>
        <v>0</v>
      </c>
      <c r="Y595" s="2">
        <v>0</v>
      </c>
      <c r="Z595" s="2">
        <v>0</v>
      </c>
      <c r="AA595" s="2">
        <f t="shared" si="244"/>
        <v>8492.69</v>
      </c>
      <c r="AB595" s="2">
        <v>0</v>
      </c>
      <c r="AC595" s="2">
        <v>8492.69</v>
      </c>
      <c r="AD595" s="16">
        <f t="shared" si="240"/>
        <v>424634.82</v>
      </c>
      <c r="AE595" s="2">
        <v>0</v>
      </c>
      <c r="AF595" s="2">
        <f t="shared" si="245"/>
        <v>424634.82</v>
      </c>
      <c r="AG595" s="38" t="s">
        <v>486</v>
      </c>
      <c r="AH595" s="29"/>
      <c r="AI595" s="118">
        <f>42463.48</f>
        <v>42463.48</v>
      </c>
      <c r="AJ595" s="118">
        <v>0</v>
      </c>
      <c r="AK595" s="179"/>
    </row>
    <row r="596" spans="1:37" s="43" customFormat="1" ht="283.5" x14ac:dyDescent="0.25">
      <c r="A596" s="6">
        <v>593</v>
      </c>
      <c r="B596" s="31">
        <v>151513</v>
      </c>
      <c r="C596" s="11">
        <v>1080</v>
      </c>
      <c r="D596" s="11" t="s">
        <v>1638</v>
      </c>
      <c r="E596" s="24" t="s">
        <v>2297</v>
      </c>
      <c r="F596" s="31" t="s">
        <v>3219</v>
      </c>
      <c r="G596" s="27" t="s">
        <v>3218</v>
      </c>
      <c r="H596" s="8" t="s">
        <v>151</v>
      </c>
      <c r="I596" s="46" t="s">
        <v>3221</v>
      </c>
      <c r="J596" s="25">
        <v>44804</v>
      </c>
      <c r="K596" s="25">
        <v>44985</v>
      </c>
      <c r="L596" s="26">
        <f t="shared" ref="L596:L603" si="246">R596/AD596*100</f>
        <v>78.400001111178014</v>
      </c>
      <c r="M596" s="11">
        <v>8</v>
      </c>
      <c r="N596" s="11" t="s">
        <v>691</v>
      </c>
      <c r="O596" s="11" t="s">
        <v>3220</v>
      </c>
      <c r="P596" s="11" t="s">
        <v>274</v>
      </c>
      <c r="Q596" s="11" t="s">
        <v>34</v>
      </c>
      <c r="R596" s="2">
        <f t="shared" si="241"/>
        <v>333023.15000000002</v>
      </c>
      <c r="S596" s="2">
        <v>0</v>
      </c>
      <c r="T596" s="2">
        <v>333023.15000000002</v>
      </c>
      <c r="U596" s="2">
        <f t="shared" si="242"/>
        <v>83255.78</v>
      </c>
      <c r="V596" s="2">
        <v>0</v>
      </c>
      <c r="W596" s="28">
        <v>83255.78</v>
      </c>
      <c r="X596" s="2">
        <f t="shared" si="243"/>
        <v>0</v>
      </c>
      <c r="Y596" s="2">
        <v>0</v>
      </c>
      <c r="Z596" s="2">
        <v>0</v>
      </c>
      <c r="AA596" s="2">
        <f t="shared" si="244"/>
        <v>8495.49</v>
      </c>
      <c r="AB596" s="2">
        <v>0</v>
      </c>
      <c r="AC596" s="2">
        <v>8495.49</v>
      </c>
      <c r="AD596" s="16">
        <f t="shared" si="240"/>
        <v>424774.42000000004</v>
      </c>
      <c r="AE596" s="2">
        <v>0</v>
      </c>
      <c r="AF596" s="2">
        <f t="shared" si="245"/>
        <v>424774.42000000004</v>
      </c>
      <c r="AG596" s="38" t="s">
        <v>486</v>
      </c>
      <c r="AH596" s="29"/>
      <c r="AI596" s="118">
        <f>42477.44</f>
        <v>42477.440000000002</v>
      </c>
      <c r="AJ596" s="118">
        <v>0</v>
      </c>
      <c r="AK596" s="179"/>
    </row>
    <row r="597" spans="1:37" s="43" customFormat="1" ht="283.5" x14ac:dyDescent="0.25">
      <c r="A597" s="6">
        <v>594</v>
      </c>
      <c r="B597" s="31">
        <v>151359</v>
      </c>
      <c r="C597" s="11">
        <v>1088</v>
      </c>
      <c r="D597" s="11" t="s">
        <v>1638</v>
      </c>
      <c r="E597" s="24" t="s">
        <v>2297</v>
      </c>
      <c r="F597" s="31" t="s">
        <v>3223</v>
      </c>
      <c r="G597" s="27" t="s">
        <v>3222</v>
      </c>
      <c r="H597" s="8" t="s">
        <v>151</v>
      </c>
      <c r="I597" s="46" t="s">
        <v>3236</v>
      </c>
      <c r="J597" s="25">
        <v>44802</v>
      </c>
      <c r="K597" s="25">
        <v>45167</v>
      </c>
      <c r="L597" s="26">
        <f t="shared" si="246"/>
        <v>78.400001698451717</v>
      </c>
      <c r="M597" s="11">
        <v>8</v>
      </c>
      <c r="N597" s="11" t="s">
        <v>691</v>
      </c>
      <c r="O597" s="11" t="s">
        <v>691</v>
      </c>
      <c r="P597" s="11" t="s">
        <v>274</v>
      </c>
      <c r="Q597" s="11" t="s">
        <v>34</v>
      </c>
      <c r="R597" s="2">
        <f t="shared" si="241"/>
        <v>306500.33</v>
      </c>
      <c r="S597" s="2">
        <v>0</v>
      </c>
      <c r="T597" s="2">
        <v>306500.33</v>
      </c>
      <c r="U597" s="2">
        <f t="shared" si="242"/>
        <v>76625.08</v>
      </c>
      <c r="V597" s="2">
        <v>0</v>
      </c>
      <c r="W597" s="28">
        <v>76625.08</v>
      </c>
      <c r="X597" s="2">
        <f t="shared" si="243"/>
        <v>0</v>
      </c>
      <c r="Y597" s="2">
        <v>0</v>
      </c>
      <c r="Z597" s="2">
        <v>0</v>
      </c>
      <c r="AA597" s="2">
        <f t="shared" si="244"/>
        <v>7818.88</v>
      </c>
      <c r="AB597" s="2">
        <v>0</v>
      </c>
      <c r="AC597" s="2">
        <v>7818.88</v>
      </c>
      <c r="AD597" s="16">
        <f t="shared" si="240"/>
        <v>390944.29000000004</v>
      </c>
      <c r="AE597" s="2">
        <v>0</v>
      </c>
      <c r="AF597" s="2">
        <f t="shared" si="245"/>
        <v>390944.29000000004</v>
      </c>
      <c r="AG597" s="38" t="s">
        <v>486</v>
      </c>
      <c r="AH597" s="29"/>
      <c r="AI597" s="118">
        <f>39094</f>
        <v>39094</v>
      </c>
      <c r="AJ597" s="118">
        <v>0</v>
      </c>
      <c r="AK597" s="179"/>
    </row>
    <row r="598" spans="1:37" s="43" customFormat="1" ht="157.5" x14ac:dyDescent="0.25">
      <c r="A598" s="6">
        <v>595</v>
      </c>
      <c r="B598" s="31">
        <v>151449</v>
      </c>
      <c r="C598" s="11">
        <v>1090</v>
      </c>
      <c r="D598" s="11" t="s">
        <v>1638</v>
      </c>
      <c r="E598" s="24" t="s">
        <v>2297</v>
      </c>
      <c r="F598" s="31" t="s">
        <v>3225</v>
      </c>
      <c r="G598" s="27" t="s">
        <v>3224</v>
      </c>
      <c r="H598" s="8" t="s">
        <v>151</v>
      </c>
      <c r="I598" s="46" t="s">
        <v>3237</v>
      </c>
      <c r="J598" s="25">
        <v>44799</v>
      </c>
      <c r="K598" s="25">
        <v>45225</v>
      </c>
      <c r="L598" s="26">
        <f t="shared" si="246"/>
        <v>78.399999070429516</v>
      </c>
      <c r="M598" s="11">
        <v>8</v>
      </c>
      <c r="N598" s="11" t="s">
        <v>137</v>
      </c>
      <c r="O598" s="11" t="s">
        <v>137</v>
      </c>
      <c r="P598" s="11" t="s">
        <v>274</v>
      </c>
      <c r="Q598" s="11" t="s">
        <v>34</v>
      </c>
      <c r="R598" s="2">
        <f t="shared" si="241"/>
        <v>323865.7</v>
      </c>
      <c r="S598" s="2">
        <v>0</v>
      </c>
      <c r="T598" s="2">
        <v>323865.7</v>
      </c>
      <c r="U598" s="2">
        <f t="shared" si="242"/>
        <v>80966.429999999993</v>
      </c>
      <c r="V598" s="2">
        <v>0</v>
      </c>
      <c r="W598" s="28">
        <v>80966.429999999993</v>
      </c>
      <c r="X598" s="2">
        <f t="shared" si="243"/>
        <v>0</v>
      </c>
      <c r="Y598" s="2">
        <v>0</v>
      </c>
      <c r="Z598" s="2">
        <v>0</v>
      </c>
      <c r="AA598" s="2">
        <f t="shared" si="244"/>
        <v>8261.8799999999992</v>
      </c>
      <c r="AB598" s="2">
        <v>0</v>
      </c>
      <c r="AC598" s="2">
        <v>8261.8799999999992</v>
      </c>
      <c r="AD598" s="16">
        <f t="shared" si="240"/>
        <v>413094.01</v>
      </c>
      <c r="AE598" s="2">
        <v>0</v>
      </c>
      <c r="AF598" s="2">
        <f t="shared" si="245"/>
        <v>413094.01</v>
      </c>
      <c r="AG598" s="38" t="s">
        <v>486</v>
      </c>
      <c r="AH598" s="29"/>
      <c r="AI598" s="118">
        <v>41309.4</v>
      </c>
      <c r="AJ598" s="118">
        <v>0</v>
      </c>
      <c r="AK598" s="179"/>
    </row>
    <row r="599" spans="1:37" s="43" customFormat="1" ht="252" x14ac:dyDescent="0.25">
      <c r="A599" s="6">
        <v>596</v>
      </c>
      <c r="B599" s="31">
        <v>151544</v>
      </c>
      <c r="C599" s="11">
        <v>1097</v>
      </c>
      <c r="D599" s="11" t="s">
        <v>1638</v>
      </c>
      <c r="E599" s="24" t="s">
        <v>2297</v>
      </c>
      <c r="F599" s="31" t="s">
        <v>3227</v>
      </c>
      <c r="G599" s="27" t="s">
        <v>3226</v>
      </c>
      <c r="H599" s="8" t="s">
        <v>151</v>
      </c>
      <c r="I599" s="46" t="s">
        <v>3228</v>
      </c>
      <c r="J599" s="25">
        <v>44804</v>
      </c>
      <c r="K599" s="25">
        <v>45230</v>
      </c>
      <c r="L599" s="26">
        <f t="shared" si="246"/>
        <v>78.399996680623858</v>
      </c>
      <c r="M599" s="11">
        <v>8</v>
      </c>
      <c r="N599" s="11" t="s">
        <v>137</v>
      </c>
      <c r="O599" s="11" t="s">
        <v>137</v>
      </c>
      <c r="P599" s="11" t="s">
        <v>274</v>
      </c>
      <c r="Q599" s="11" t="s">
        <v>34</v>
      </c>
      <c r="R599" s="2">
        <f t="shared" si="241"/>
        <v>330664.53000000003</v>
      </c>
      <c r="S599" s="2">
        <v>0</v>
      </c>
      <c r="T599" s="2">
        <v>330664.53000000003</v>
      </c>
      <c r="U599" s="2">
        <f t="shared" si="242"/>
        <v>82666.14</v>
      </c>
      <c r="V599" s="2">
        <v>0</v>
      </c>
      <c r="W599" s="28">
        <v>82666.14</v>
      </c>
      <c r="X599" s="2">
        <f t="shared" si="243"/>
        <v>0</v>
      </c>
      <c r="Y599" s="2">
        <v>0</v>
      </c>
      <c r="Z599" s="2">
        <v>0</v>
      </c>
      <c r="AA599" s="2">
        <f t="shared" si="244"/>
        <v>8435.33</v>
      </c>
      <c r="AB599" s="2">
        <v>0</v>
      </c>
      <c r="AC599" s="2">
        <v>8435.33</v>
      </c>
      <c r="AD599" s="16">
        <f t="shared" si="240"/>
        <v>421766.00000000006</v>
      </c>
      <c r="AE599" s="2">
        <v>0</v>
      </c>
      <c r="AF599" s="2">
        <f t="shared" si="245"/>
        <v>421766.00000000006</v>
      </c>
      <c r="AG599" s="38" t="s">
        <v>486</v>
      </c>
      <c r="AH599" s="29"/>
      <c r="AI599" s="118">
        <f>42176</f>
        <v>42176</v>
      </c>
      <c r="AJ599" s="118">
        <v>0</v>
      </c>
      <c r="AK599" s="179"/>
    </row>
    <row r="600" spans="1:37" s="43" customFormat="1" ht="299.25" x14ac:dyDescent="0.25">
      <c r="A600" s="6">
        <v>597</v>
      </c>
      <c r="B600" s="31">
        <v>151480</v>
      </c>
      <c r="C600" s="11">
        <v>1093</v>
      </c>
      <c r="D600" s="11" t="s">
        <v>1638</v>
      </c>
      <c r="E600" s="24" t="s">
        <v>2297</v>
      </c>
      <c r="F600" s="31" t="s">
        <v>3245</v>
      </c>
      <c r="G600" s="27" t="s">
        <v>3244</v>
      </c>
      <c r="H600" s="8" t="s">
        <v>151</v>
      </c>
      <c r="I600" s="46" t="s">
        <v>3248</v>
      </c>
      <c r="J600" s="25">
        <v>44805</v>
      </c>
      <c r="K600" s="25">
        <v>45231</v>
      </c>
      <c r="L600" s="26">
        <f t="shared" si="246"/>
        <v>78.400004944717949</v>
      </c>
      <c r="M600" s="11">
        <v>8</v>
      </c>
      <c r="N600" s="11" t="s">
        <v>137</v>
      </c>
      <c r="O600" s="11" t="s">
        <v>137</v>
      </c>
      <c r="P600" s="11" t="s">
        <v>274</v>
      </c>
      <c r="Q600" s="11" t="s">
        <v>34</v>
      </c>
      <c r="R600" s="2">
        <f t="shared" si="241"/>
        <v>315837.65000000002</v>
      </c>
      <c r="S600" s="2">
        <v>0</v>
      </c>
      <c r="T600" s="2">
        <v>315837.65000000002</v>
      </c>
      <c r="U600" s="2">
        <f t="shared" si="242"/>
        <v>78959.39</v>
      </c>
      <c r="V600" s="2">
        <v>0</v>
      </c>
      <c r="W600" s="28">
        <v>78959.39</v>
      </c>
      <c r="X600" s="2">
        <f t="shared" si="243"/>
        <v>0</v>
      </c>
      <c r="Y600" s="2">
        <v>0</v>
      </c>
      <c r="Z600" s="2">
        <v>0</v>
      </c>
      <c r="AA600" s="2">
        <f t="shared" si="244"/>
        <v>8057.08</v>
      </c>
      <c r="AB600" s="2">
        <v>0</v>
      </c>
      <c r="AC600" s="2">
        <v>8057.08</v>
      </c>
      <c r="AD600" s="16">
        <f t="shared" si="240"/>
        <v>402854.12000000005</v>
      </c>
      <c r="AE600" s="2">
        <v>0</v>
      </c>
      <c r="AF600" s="2">
        <f t="shared" si="245"/>
        <v>402854.12000000005</v>
      </c>
      <c r="AG600" s="38" t="s">
        <v>486</v>
      </c>
      <c r="AH600" s="29"/>
      <c r="AI600" s="118">
        <v>40110</v>
      </c>
      <c r="AJ600" s="118">
        <v>0</v>
      </c>
      <c r="AK600" s="179"/>
    </row>
    <row r="601" spans="1:37" s="43" customFormat="1" ht="141.75" x14ac:dyDescent="0.25">
      <c r="A601" s="6">
        <v>598</v>
      </c>
      <c r="B601" s="31">
        <v>151474</v>
      </c>
      <c r="C601" s="11">
        <v>1092</v>
      </c>
      <c r="D601" s="11" t="s">
        <v>1638</v>
      </c>
      <c r="E601" s="24" t="s">
        <v>2297</v>
      </c>
      <c r="F601" s="31" t="s">
        <v>3257</v>
      </c>
      <c r="G601" s="27" t="s">
        <v>3256</v>
      </c>
      <c r="H601" s="8" t="s">
        <v>151</v>
      </c>
      <c r="I601" s="46" t="s">
        <v>3258</v>
      </c>
      <c r="J601" s="25">
        <v>44810</v>
      </c>
      <c r="K601" s="25">
        <v>45236</v>
      </c>
      <c r="L601" s="26">
        <f t="shared" si="246"/>
        <v>78.400000136292874</v>
      </c>
      <c r="M601" s="11">
        <v>8</v>
      </c>
      <c r="N601" s="11" t="s">
        <v>691</v>
      </c>
      <c r="O601" s="11" t="s">
        <v>716</v>
      </c>
      <c r="P601" s="11" t="s">
        <v>274</v>
      </c>
      <c r="Q601" s="11" t="s">
        <v>34</v>
      </c>
      <c r="R601" s="2">
        <f t="shared" si="241"/>
        <v>322129.84999999998</v>
      </c>
      <c r="S601" s="2">
        <v>0</v>
      </c>
      <c r="T601" s="2">
        <v>322129.84999999998</v>
      </c>
      <c r="U601" s="2">
        <f t="shared" si="242"/>
        <v>80532.460000000006</v>
      </c>
      <c r="V601" s="2">
        <v>0</v>
      </c>
      <c r="W601" s="28">
        <v>80532.460000000006</v>
      </c>
      <c r="X601" s="2">
        <f t="shared" si="243"/>
        <v>0</v>
      </c>
      <c r="Y601" s="2">
        <v>0</v>
      </c>
      <c r="Z601" s="2">
        <v>0</v>
      </c>
      <c r="AA601" s="2">
        <f t="shared" si="244"/>
        <v>8217.6</v>
      </c>
      <c r="AB601" s="2">
        <v>0</v>
      </c>
      <c r="AC601" s="2">
        <v>8217.6</v>
      </c>
      <c r="AD601" s="16">
        <f t="shared" si="240"/>
        <v>410879.91</v>
      </c>
      <c r="AE601" s="2">
        <v>0</v>
      </c>
      <c r="AF601" s="2">
        <f t="shared" si="245"/>
        <v>410879.91</v>
      </c>
      <c r="AG601" s="38" t="s">
        <v>486</v>
      </c>
      <c r="AH601" s="29"/>
      <c r="AI601" s="118">
        <v>0</v>
      </c>
      <c r="AJ601" s="118">
        <v>0</v>
      </c>
      <c r="AK601" s="179"/>
    </row>
    <row r="602" spans="1:37" s="43" customFormat="1" ht="362.25" x14ac:dyDescent="0.25">
      <c r="A602" s="6">
        <v>599</v>
      </c>
      <c r="B602" s="31">
        <v>151512</v>
      </c>
      <c r="C602" s="11">
        <v>1079</v>
      </c>
      <c r="D602" s="11" t="s">
        <v>1638</v>
      </c>
      <c r="E602" s="24" t="s">
        <v>2297</v>
      </c>
      <c r="F602" s="31" t="s">
        <v>3265</v>
      </c>
      <c r="G602" s="27" t="s">
        <v>3264</v>
      </c>
      <c r="H602" s="8" t="s">
        <v>151</v>
      </c>
      <c r="I602" s="46" t="s">
        <v>3266</v>
      </c>
      <c r="J602" s="25">
        <v>44816</v>
      </c>
      <c r="K602" s="25">
        <v>44997</v>
      </c>
      <c r="L602" s="26">
        <f t="shared" si="246"/>
        <v>78.400002994791478</v>
      </c>
      <c r="M602" s="11">
        <v>8</v>
      </c>
      <c r="N602" s="11" t="s">
        <v>691</v>
      </c>
      <c r="O602" s="11" t="s">
        <v>3267</v>
      </c>
      <c r="P602" s="11" t="s">
        <v>274</v>
      </c>
      <c r="Q602" s="11" t="s">
        <v>34</v>
      </c>
      <c r="R602" s="2">
        <f t="shared" si="241"/>
        <v>332994.15000000002</v>
      </c>
      <c r="S602" s="2">
        <v>0</v>
      </c>
      <c r="T602" s="2">
        <v>332994.15000000002</v>
      </c>
      <c r="U602" s="2">
        <f t="shared" si="242"/>
        <v>83248.539999999994</v>
      </c>
      <c r="V602" s="2">
        <v>0</v>
      </c>
      <c r="W602" s="28">
        <v>83248.539999999994</v>
      </c>
      <c r="X602" s="2">
        <f t="shared" si="243"/>
        <v>0</v>
      </c>
      <c r="Y602" s="2">
        <v>0</v>
      </c>
      <c r="Z602" s="2">
        <v>0</v>
      </c>
      <c r="AA602" s="2">
        <f t="shared" si="244"/>
        <v>8494.73</v>
      </c>
      <c r="AB602" s="2">
        <v>0</v>
      </c>
      <c r="AC602" s="2">
        <v>8494.73</v>
      </c>
      <c r="AD602" s="16">
        <f t="shared" si="240"/>
        <v>424737.42</v>
      </c>
      <c r="AE602" s="2">
        <v>0</v>
      </c>
      <c r="AF602" s="2">
        <f t="shared" si="245"/>
        <v>424737.42</v>
      </c>
      <c r="AG602" s="38" t="s">
        <v>486</v>
      </c>
      <c r="AH602" s="29"/>
      <c r="AI602" s="118">
        <f>42473.74</f>
        <v>42473.74</v>
      </c>
      <c r="AJ602" s="118">
        <v>0</v>
      </c>
      <c r="AK602" s="179"/>
    </row>
    <row r="603" spans="1:37" s="43" customFormat="1" ht="157.5" x14ac:dyDescent="0.25">
      <c r="A603" s="6">
        <v>600</v>
      </c>
      <c r="B603" s="31">
        <v>151542</v>
      </c>
      <c r="C603" s="11">
        <v>1096</v>
      </c>
      <c r="D603" s="11" t="s">
        <v>1638</v>
      </c>
      <c r="E603" s="24" t="s">
        <v>2297</v>
      </c>
      <c r="F603" s="31" t="s">
        <v>3269</v>
      </c>
      <c r="G603" s="27" t="s">
        <v>3268</v>
      </c>
      <c r="H603" s="8" t="s">
        <v>151</v>
      </c>
      <c r="I603" s="46" t="s">
        <v>3270</v>
      </c>
      <c r="J603" s="25">
        <v>44816</v>
      </c>
      <c r="K603" s="25">
        <v>45181</v>
      </c>
      <c r="L603" s="26">
        <f t="shared" si="246"/>
        <v>78.399999026766352</v>
      </c>
      <c r="M603" s="11">
        <v>8</v>
      </c>
      <c r="N603" s="11" t="s">
        <v>691</v>
      </c>
      <c r="O603" s="11" t="s">
        <v>3271</v>
      </c>
      <c r="P603" s="11" t="s">
        <v>274</v>
      </c>
      <c r="Q603" s="11" t="s">
        <v>34</v>
      </c>
      <c r="R603" s="2">
        <f t="shared" si="241"/>
        <v>322224.78000000003</v>
      </c>
      <c r="S603" s="2">
        <v>0</v>
      </c>
      <c r="T603" s="2">
        <v>322224.78000000003</v>
      </c>
      <c r="U603" s="2">
        <f t="shared" si="242"/>
        <v>80556.2</v>
      </c>
      <c r="V603" s="2">
        <v>0</v>
      </c>
      <c r="W603" s="28">
        <v>80556.2</v>
      </c>
      <c r="X603" s="2">
        <f t="shared" si="243"/>
        <v>0</v>
      </c>
      <c r="Y603" s="2">
        <v>0</v>
      </c>
      <c r="Z603" s="2">
        <v>0</v>
      </c>
      <c r="AA603" s="2">
        <f t="shared" si="244"/>
        <v>8220.02</v>
      </c>
      <c r="AB603" s="2">
        <v>0</v>
      </c>
      <c r="AC603" s="2">
        <v>8220.02</v>
      </c>
      <c r="AD603" s="16">
        <f t="shared" si="240"/>
        <v>411001.00000000006</v>
      </c>
      <c r="AE603" s="2">
        <v>0</v>
      </c>
      <c r="AF603" s="2">
        <f t="shared" si="245"/>
        <v>411001.00000000006</v>
      </c>
      <c r="AG603" s="38" t="s">
        <v>486</v>
      </c>
      <c r="AH603" s="29"/>
      <c r="AI603" s="118">
        <v>0</v>
      </c>
      <c r="AJ603" s="118">
        <v>0</v>
      </c>
      <c r="AK603" s="179"/>
    </row>
    <row r="604" spans="1:37" s="43" customFormat="1" ht="283.5" x14ac:dyDescent="0.25">
      <c r="A604" s="6">
        <v>601</v>
      </c>
      <c r="B604" s="31">
        <v>119193</v>
      </c>
      <c r="C604" s="11">
        <v>2</v>
      </c>
      <c r="D604" s="11" t="s">
        <v>143</v>
      </c>
      <c r="E604" s="24" t="s">
        <v>107</v>
      </c>
      <c r="F604" s="11" t="s">
        <v>35</v>
      </c>
      <c r="G604" s="27" t="s">
        <v>1348</v>
      </c>
      <c r="H604" s="8" t="s">
        <v>151</v>
      </c>
      <c r="I604" s="46" t="s">
        <v>36</v>
      </c>
      <c r="J604" s="25">
        <v>42459</v>
      </c>
      <c r="K604" s="25">
        <v>43373</v>
      </c>
      <c r="L604" s="26">
        <f t="shared" ref="L604:L668" si="247">R604/AD604*100</f>
        <v>83.983862816086358</v>
      </c>
      <c r="M604" s="11" t="s">
        <v>136</v>
      </c>
      <c r="N604" s="11" t="s">
        <v>261</v>
      </c>
      <c r="O604" s="11" t="s">
        <v>261</v>
      </c>
      <c r="P604" s="27" t="s">
        <v>138</v>
      </c>
      <c r="Q604" s="11" t="s">
        <v>34</v>
      </c>
      <c r="R604" s="2">
        <f t="shared" ref="R604:R636" si="248">S604+T604</f>
        <v>11141147.18</v>
      </c>
      <c r="S604" s="2">
        <v>8984364.5299999993</v>
      </c>
      <c r="T604" s="2">
        <v>2156782.65</v>
      </c>
      <c r="U604" s="2">
        <f t="shared" ref="U604:U611" si="249">V604+W604</f>
        <v>0</v>
      </c>
      <c r="V604" s="28">
        <v>0</v>
      </c>
      <c r="W604" s="28">
        <v>0</v>
      </c>
      <c r="X604" s="2">
        <f t="shared" ref="X604:X636" si="250">Y604+Z604</f>
        <v>2124671.7600000002</v>
      </c>
      <c r="Y604" s="2">
        <v>1585476.09</v>
      </c>
      <c r="Z604" s="2">
        <v>539195.67000000004</v>
      </c>
      <c r="AA604" s="2">
        <f t="shared" ref="AA604:AA636" si="251">AB604+AC604</f>
        <v>0</v>
      </c>
      <c r="AB604" s="2">
        <v>0</v>
      </c>
      <c r="AC604" s="2">
        <v>0</v>
      </c>
      <c r="AD604" s="16">
        <f t="shared" si="240"/>
        <v>13265818.939999999</v>
      </c>
      <c r="AE604" s="2">
        <v>0</v>
      </c>
      <c r="AF604" s="2">
        <f t="shared" ref="AF604:AF636" si="252">AD604+AE604</f>
        <v>13265818.939999999</v>
      </c>
      <c r="AG604" s="21" t="s">
        <v>857</v>
      </c>
      <c r="AH604" s="29" t="s">
        <v>275</v>
      </c>
      <c r="AI604" s="118">
        <v>11115534.15</v>
      </c>
      <c r="AJ604" s="30">
        <v>0</v>
      </c>
      <c r="AK604" s="179"/>
    </row>
    <row r="605" spans="1:37" ht="141.75" x14ac:dyDescent="0.25">
      <c r="A605" s="6">
        <v>602</v>
      </c>
      <c r="B605" s="31">
        <v>118575</v>
      </c>
      <c r="C605" s="11">
        <v>7</v>
      </c>
      <c r="D605" s="11" t="s">
        <v>143</v>
      </c>
      <c r="E605" s="10" t="s">
        <v>107</v>
      </c>
      <c r="F605" s="11" t="s">
        <v>45</v>
      </c>
      <c r="G605" s="11" t="s">
        <v>1714</v>
      </c>
      <c r="H605" s="8" t="s">
        <v>151</v>
      </c>
      <c r="I605" s="46" t="s">
        <v>46</v>
      </c>
      <c r="J605" s="25">
        <v>42592</v>
      </c>
      <c r="K605" s="25">
        <v>44783</v>
      </c>
      <c r="L605" s="26">
        <f>R605/AD605*100</f>
        <v>83.983862823517285</v>
      </c>
      <c r="M605" s="11" t="s">
        <v>136</v>
      </c>
      <c r="N605" s="11" t="s">
        <v>261</v>
      </c>
      <c r="O605" s="11" t="s">
        <v>261</v>
      </c>
      <c r="P605" s="27" t="s">
        <v>138</v>
      </c>
      <c r="Q605" s="11" t="s">
        <v>34</v>
      </c>
      <c r="R605" s="2">
        <f>S605+T605</f>
        <v>8244072.25</v>
      </c>
      <c r="S605" s="2">
        <v>6648125.9800000004</v>
      </c>
      <c r="T605" s="2">
        <v>1595946.27</v>
      </c>
      <c r="U605" s="2">
        <f>V605+W605</f>
        <v>0</v>
      </c>
      <c r="V605" s="28">
        <v>0</v>
      </c>
      <c r="W605" s="28">
        <v>0</v>
      </c>
      <c r="X605" s="2">
        <f>Y605+Z605</f>
        <v>1572185.27</v>
      </c>
      <c r="Y605" s="2">
        <v>1173198.73</v>
      </c>
      <c r="Z605" s="2">
        <v>398986.54</v>
      </c>
      <c r="AA605" s="2">
        <f>AB605+AC605</f>
        <v>0</v>
      </c>
      <c r="AB605" s="2">
        <v>0</v>
      </c>
      <c r="AC605" s="2">
        <v>0</v>
      </c>
      <c r="AD605" s="16">
        <f t="shared" si="240"/>
        <v>9816257.5199999996</v>
      </c>
      <c r="AE605" s="2">
        <v>0</v>
      </c>
      <c r="AF605" s="2">
        <f>AD605+AE605</f>
        <v>9816257.5199999996</v>
      </c>
      <c r="AG605" s="38" t="s">
        <v>857</v>
      </c>
      <c r="AH605" s="29" t="s">
        <v>1770</v>
      </c>
      <c r="AI605" s="30">
        <f>2526006.82+91434.08+29139.88+39881.42+45202.63+320744.33+2197750.47</f>
        <v>5250159.63</v>
      </c>
      <c r="AJ605" s="30">
        <v>0</v>
      </c>
    </row>
    <row r="606" spans="1:37" ht="204.75" x14ac:dyDescent="0.25">
      <c r="A606" s="6">
        <v>603</v>
      </c>
      <c r="B606" s="31">
        <v>117842</v>
      </c>
      <c r="C606" s="11">
        <v>3</v>
      </c>
      <c r="D606" s="11" t="s">
        <v>143</v>
      </c>
      <c r="E606" s="10" t="s">
        <v>107</v>
      </c>
      <c r="F606" s="11" t="s">
        <v>37</v>
      </c>
      <c r="G606" s="11" t="s">
        <v>1349</v>
      </c>
      <c r="H606" s="11" t="s">
        <v>162</v>
      </c>
      <c r="I606" s="46" t="s">
        <v>38</v>
      </c>
      <c r="J606" s="25">
        <v>42534</v>
      </c>
      <c r="K606" s="25">
        <v>43585</v>
      </c>
      <c r="L606" s="26">
        <f t="shared" si="247"/>
        <v>83.983864495221582</v>
      </c>
      <c r="M606" s="11" t="s">
        <v>136</v>
      </c>
      <c r="N606" s="11" t="s">
        <v>261</v>
      </c>
      <c r="O606" s="11" t="s">
        <v>261</v>
      </c>
      <c r="P606" s="27" t="s">
        <v>138</v>
      </c>
      <c r="Q606" s="11" t="s">
        <v>34</v>
      </c>
      <c r="R606" s="2">
        <f t="shared" si="248"/>
        <v>15396417.879999999</v>
      </c>
      <c r="S606" s="2">
        <v>12415869.539999999</v>
      </c>
      <c r="T606" s="2">
        <v>2980548.34</v>
      </c>
      <c r="U606" s="2">
        <f t="shared" si="249"/>
        <v>0</v>
      </c>
      <c r="V606" s="28">
        <v>0</v>
      </c>
      <c r="W606" s="28">
        <v>0</v>
      </c>
      <c r="X606" s="2">
        <f t="shared" si="250"/>
        <v>2936172.52</v>
      </c>
      <c r="Y606" s="2">
        <v>2191035.59</v>
      </c>
      <c r="Z606" s="2">
        <v>745136.93</v>
      </c>
      <c r="AA606" s="2">
        <f t="shared" si="251"/>
        <v>0</v>
      </c>
      <c r="AB606" s="2">
        <v>0</v>
      </c>
      <c r="AC606" s="2">
        <v>0</v>
      </c>
      <c r="AD606" s="16">
        <f t="shared" si="240"/>
        <v>18332590.399999999</v>
      </c>
      <c r="AE606" s="2">
        <v>0</v>
      </c>
      <c r="AF606" s="2">
        <f t="shared" si="252"/>
        <v>18332590.399999999</v>
      </c>
      <c r="AG606" s="21" t="s">
        <v>857</v>
      </c>
      <c r="AH606" s="29" t="s">
        <v>946</v>
      </c>
      <c r="AI606" s="30">
        <f>12217325.54+8762.76</f>
        <v>12226088.299999999</v>
      </c>
      <c r="AJ606" s="130">
        <v>0</v>
      </c>
    </row>
    <row r="607" spans="1:37" ht="204.75" x14ac:dyDescent="0.25">
      <c r="A607" s="6">
        <v>604</v>
      </c>
      <c r="B607" s="31">
        <v>118291</v>
      </c>
      <c r="C607" s="11">
        <v>4</v>
      </c>
      <c r="D607" s="11" t="s">
        <v>143</v>
      </c>
      <c r="E607" s="10" t="s">
        <v>107</v>
      </c>
      <c r="F607" s="11" t="s">
        <v>39</v>
      </c>
      <c r="G607" s="11" t="s">
        <v>1350</v>
      </c>
      <c r="H607" s="11" t="s">
        <v>161</v>
      </c>
      <c r="I607" s="46" t="s">
        <v>40</v>
      </c>
      <c r="J607" s="25">
        <v>42459</v>
      </c>
      <c r="K607" s="25">
        <v>43220</v>
      </c>
      <c r="L607" s="26">
        <f t="shared" si="247"/>
        <v>83.983862772799696</v>
      </c>
      <c r="M607" s="11" t="s">
        <v>136</v>
      </c>
      <c r="N607" s="11" t="s">
        <v>261</v>
      </c>
      <c r="O607" s="11" t="s">
        <v>261</v>
      </c>
      <c r="P607" s="27" t="s">
        <v>138</v>
      </c>
      <c r="Q607" s="11" t="s">
        <v>34</v>
      </c>
      <c r="R607" s="2">
        <f t="shared" si="248"/>
        <v>9512414.3200000003</v>
      </c>
      <c r="S607" s="2">
        <v>7670933.3799999999</v>
      </c>
      <c r="T607" s="2">
        <v>1841480.94</v>
      </c>
      <c r="U607" s="2">
        <f t="shared" si="249"/>
        <v>0</v>
      </c>
      <c r="V607" s="28">
        <v>0</v>
      </c>
      <c r="W607" s="28">
        <v>0</v>
      </c>
      <c r="X607" s="2">
        <f t="shared" si="250"/>
        <v>1814064.3699999999</v>
      </c>
      <c r="Y607" s="2">
        <v>1353694.13</v>
      </c>
      <c r="Z607" s="2">
        <v>460370.24</v>
      </c>
      <c r="AA607" s="2">
        <f t="shared" si="251"/>
        <v>0</v>
      </c>
      <c r="AB607" s="2">
        <v>0</v>
      </c>
      <c r="AC607" s="2">
        <v>0</v>
      </c>
      <c r="AD607" s="16">
        <f t="shared" si="240"/>
        <v>11326478.689999999</v>
      </c>
      <c r="AE607" s="2">
        <v>0</v>
      </c>
      <c r="AF607" s="2">
        <f t="shared" si="252"/>
        <v>11326478.689999999</v>
      </c>
      <c r="AG607" s="21" t="s">
        <v>857</v>
      </c>
      <c r="AH607" s="29" t="s">
        <v>173</v>
      </c>
      <c r="AI607" s="30">
        <v>8671071.8500000015</v>
      </c>
      <c r="AJ607" s="130">
        <v>0</v>
      </c>
    </row>
    <row r="608" spans="1:37" ht="141.75" x14ac:dyDescent="0.25">
      <c r="A608" s="6">
        <v>605</v>
      </c>
      <c r="B608" s="31">
        <v>118957</v>
      </c>
      <c r="C608" s="11">
        <v>5</v>
      </c>
      <c r="D608" s="11" t="s">
        <v>143</v>
      </c>
      <c r="E608" s="10" t="s">
        <v>107</v>
      </c>
      <c r="F608" s="11" t="s">
        <v>41</v>
      </c>
      <c r="G608" s="27" t="s">
        <v>1351</v>
      </c>
      <c r="H608" s="11" t="s">
        <v>162</v>
      </c>
      <c r="I608" s="46" t="s">
        <v>42</v>
      </c>
      <c r="J608" s="25">
        <v>42900</v>
      </c>
      <c r="K608" s="25">
        <v>43904</v>
      </c>
      <c r="L608" s="26">
        <f t="shared" si="247"/>
        <v>83.983863090563631</v>
      </c>
      <c r="M608" s="11" t="s">
        <v>136</v>
      </c>
      <c r="N608" s="11" t="s">
        <v>261</v>
      </c>
      <c r="O608" s="11" t="s">
        <v>261</v>
      </c>
      <c r="P608" s="27" t="s">
        <v>138</v>
      </c>
      <c r="Q608" s="11" t="s">
        <v>34</v>
      </c>
      <c r="R608" s="2">
        <f t="shared" si="248"/>
        <v>4555318.21</v>
      </c>
      <c r="S608" s="2">
        <v>3673467.24</v>
      </c>
      <c r="T608" s="2">
        <v>881850.97</v>
      </c>
      <c r="U608" s="2">
        <f t="shared" si="249"/>
        <v>0</v>
      </c>
      <c r="V608" s="28">
        <v>0</v>
      </c>
      <c r="W608" s="28">
        <v>0</v>
      </c>
      <c r="X608" s="2">
        <f t="shared" si="250"/>
        <v>868721.65</v>
      </c>
      <c r="Y608" s="2">
        <v>648258.93000000005</v>
      </c>
      <c r="Z608" s="2">
        <v>220462.72</v>
      </c>
      <c r="AA608" s="2">
        <f t="shared" si="251"/>
        <v>0</v>
      </c>
      <c r="AB608" s="2">
        <v>0</v>
      </c>
      <c r="AC608" s="2">
        <v>0</v>
      </c>
      <c r="AD608" s="16">
        <f t="shared" si="240"/>
        <v>5424039.8600000003</v>
      </c>
      <c r="AE608" s="2">
        <v>0</v>
      </c>
      <c r="AF608" s="2">
        <f t="shared" si="252"/>
        <v>5424039.8600000003</v>
      </c>
      <c r="AG608" s="38" t="s">
        <v>857</v>
      </c>
      <c r="AH608" s="29" t="s">
        <v>1404</v>
      </c>
      <c r="AI608" s="30">
        <f>3853955.63+273692.26</f>
        <v>4127647.8899999997</v>
      </c>
      <c r="AJ608" s="130">
        <v>0</v>
      </c>
    </row>
    <row r="609" spans="1:37" ht="141.75" x14ac:dyDescent="0.25">
      <c r="A609" s="6">
        <v>606</v>
      </c>
      <c r="B609" s="31">
        <v>118448</v>
      </c>
      <c r="C609" s="11">
        <v>6</v>
      </c>
      <c r="D609" s="11" t="s">
        <v>143</v>
      </c>
      <c r="E609" s="10" t="s">
        <v>107</v>
      </c>
      <c r="F609" s="11" t="s">
        <v>43</v>
      </c>
      <c r="G609" s="11" t="s">
        <v>1349</v>
      </c>
      <c r="H609" s="8" t="s">
        <v>151</v>
      </c>
      <c r="I609" s="46" t="s">
        <v>44</v>
      </c>
      <c r="J609" s="25">
        <v>42458</v>
      </c>
      <c r="K609" s="25">
        <v>43706</v>
      </c>
      <c r="L609" s="26">
        <f t="shared" si="247"/>
        <v>83.983862365752103</v>
      </c>
      <c r="M609" s="11" t="s">
        <v>136</v>
      </c>
      <c r="N609" s="11" t="s">
        <v>261</v>
      </c>
      <c r="O609" s="11" t="s">
        <v>261</v>
      </c>
      <c r="P609" s="27" t="s">
        <v>138</v>
      </c>
      <c r="Q609" s="11" t="s">
        <v>34</v>
      </c>
      <c r="R609" s="2">
        <f t="shared" si="248"/>
        <v>15459786.27</v>
      </c>
      <c r="S609" s="2">
        <v>12466970.77</v>
      </c>
      <c r="T609" s="2">
        <v>2992815.5</v>
      </c>
      <c r="U609" s="2">
        <f t="shared" si="249"/>
        <v>0</v>
      </c>
      <c r="V609" s="28">
        <v>0</v>
      </c>
      <c r="W609" s="28">
        <v>0</v>
      </c>
      <c r="X609" s="2">
        <f t="shared" si="250"/>
        <v>2948257.6500000004</v>
      </c>
      <c r="Y609" s="2">
        <v>2200053.66</v>
      </c>
      <c r="Z609" s="2">
        <v>748203.99</v>
      </c>
      <c r="AA609" s="2">
        <f t="shared" si="251"/>
        <v>0</v>
      </c>
      <c r="AB609" s="2">
        <v>0</v>
      </c>
      <c r="AC609" s="2">
        <v>0</v>
      </c>
      <c r="AD609" s="16">
        <f t="shared" si="240"/>
        <v>18408043.920000002</v>
      </c>
      <c r="AE609" s="2">
        <v>0</v>
      </c>
      <c r="AF609" s="2">
        <f t="shared" si="252"/>
        <v>18408043.920000002</v>
      </c>
      <c r="AG609" s="21" t="s">
        <v>857</v>
      </c>
      <c r="AH609" s="29" t="s">
        <v>1064</v>
      </c>
      <c r="AI609" s="30">
        <v>12495255.649999997</v>
      </c>
      <c r="AJ609" s="130">
        <v>0</v>
      </c>
      <c r="AK609" s="43"/>
    </row>
    <row r="610" spans="1:37" ht="141.75" x14ac:dyDescent="0.25">
      <c r="A610" s="6">
        <v>607</v>
      </c>
      <c r="B610" s="31">
        <v>119240</v>
      </c>
      <c r="C610" s="11">
        <v>54</v>
      </c>
      <c r="D610" s="11" t="s">
        <v>145</v>
      </c>
      <c r="E610" s="10" t="s">
        <v>123</v>
      </c>
      <c r="F610" s="11" t="s">
        <v>97</v>
      </c>
      <c r="G610" s="11" t="s">
        <v>94</v>
      </c>
      <c r="H610" s="8" t="s">
        <v>151</v>
      </c>
      <c r="I610" s="46" t="s">
        <v>98</v>
      </c>
      <c r="J610" s="25">
        <v>42943</v>
      </c>
      <c r="K610" s="25">
        <v>44254</v>
      </c>
      <c r="L610" s="26">
        <f t="shared" si="247"/>
        <v>83.983862702386219</v>
      </c>
      <c r="M610" s="11" t="s">
        <v>136</v>
      </c>
      <c r="N610" s="11" t="s">
        <v>261</v>
      </c>
      <c r="O610" s="11" t="s">
        <v>261</v>
      </c>
      <c r="P610" s="27" t="s">
        <v>138</v>
      </c>
      <c r="Q610" s="11" t="s">
        <v>34</v>
      </c>
      <c r="R610" s="2">
        <f t="shared" si="248"/>
        <v>11805482.9</v>
      </c>
      <c r="S610" s="2">
        <v>9520093.4299999997</v>
      </c>
      <c r="T610" s="2">
        <v>2285389.4700000002</v>
      </c>
      <c r="U610" s="2">
        <f t="shared" si="249"/>
        <v>0</v>
      </c>
      <c r="V610" s="28">
        <v>0</v>
      </c>
      <c r="W610" s="28">
        <v>0</v>
      </c>
      <c r="X610" s="2">
        <f t="shared" si="250"/>
        <v>2251363.88</v>
      </c>
      <c r="Y610" s="2">
        <v>1680016.48</v>
      </c>
      <c r="Z610" s="2">
        <v>571347.4</v>
      </c>
      <c r="AA610" s="2">
        <f t="shared" si="251"/>
        <v>0</v>
      </c>
      <c r="AB610" s="2">
        <v>0</v>
      </c>
      <c r="AC610" s="2">
        <v>0</v>
      </c>
      <c r="AD610" s="16">
        <f t="shared" si="240"/>
        <v>14056846.780000001</v>
      </c>
      <c r="AE610" s="2">
        <v>216877.5</v>
      </c>
      <c r="AF610" s="2">
        <f t="shared" si="252"/>
        <v>14273724.280000001</v>
      </c>
      <c r="AG610" s="38" t="s">
        <v>857</v>
      </c>
      <c r="AH610" s="29" t="s">
        <v>1585</v>
      </c>
      <c r="AI610" s="30">
        <f>10551997.58+45332.4+60208.97+567096.84+164236.95</f>
        <v>11388872.74</v>
      </c>
      <c r="AJ610" s="130">
        <v>0</v>
      </c>
    </row>
    <row r="611" spans="1:37" ht="236.25" x14ac:dyDescent="0.25">
      <c r="A611" s="6">
        <v>608</v>
      </c>
      <c r="B611" s="31">
        <v>122100</v>
      </c>
      <c r="C611" s="11">
        <v>8</v>
      </c>
      <c r="D611" s="11" t="s">
        <v>143</v>
      </c>
      <c r="E611" s="10" t="s">
        <v>107</v>
      </c>
      <c r="F611" s="11" t="s">
        <v>47</v>
      </c>
      <c r="G611" s="11" t="s">
        <v>1716</v>
      </c>
      <c r="H611" s="8" t="s">
        <v>151</v>
      </c>
      <c r="I611" s="46" t="s">
        <v>48</v>
      </c>
      <c r="J611" s="25">
        <v>42661</v>
      </c>
      <c r="K611" s="25">
        <v>43756</v>
      </c>
      <c r="L611" s="26">
        <f t="shared" si="247"/>
        <v>83.983862943976007</v>
      </c>
      <c r="M611" s="11" t="s">
        <v>136</v>
      </c>
      <c r="N611" s="11" t="s">
        <v>261</v>
      </c>
      <c r="O611" s="11" t="s">
        <v>261</v>
      </c>
      <c r="P611" s="27" t="s">
        <v>138</v>
      </c>
      <c r="Q611" s="11" t="s">
        <v>34</v>
      </c>
      <c r="R611" s="2">
        <f t="shared" si="248"/>
        <v>1681184.87</v>
      </c>
      <c r="S611" s="2">
        <v>1355729.12</v>
      </c>
      <c r="T611" s="2">
        <v>325455.75</v>
      </c>
      <c r="U611" s="2">
        <f t="shared" si="249"/>
        <v>0</v>
      </c>
      <c r="V611" s="28">
        <v>0</v>
      </c>
      <c r="W611" s="28">
        <v>0</v>
      </c>
      <c r="X611" s="2">
        <f t="shared" si="250"/>
        <v>320610.25</v>
      </c>
      <c r="Y611" s="2">
        <v>239246.31</v>
      </c>
      <c r="Z611" s="2">
        <v>81363.94</v>
      </c>
      <c r="AA611" s="2">
        <f t="shared" si="251"/>
        <v>0</v>
      </c>
      <c r="AB611" s="2">
        <v>0</v>
      </c>
      <c r="AC611" s="2">
        <v>0</v>
      </c>
      <c r="AD611" s="16">
        <f t="shared" si="240"/>
        <v>2001795.12</v>
      </c>
      <c r="AE611" s="2">
        <v>0</v>
      </c>
      <c r="AF611" s="2">
        <f t="shared" si="252"/>
        <v>2001795.12</v>
      </c>
      <c r="AG611" s="21" t="s">
        <v>857</v>
      </c>
      <c r="AH611" s="29" t="s">
        <v>1052</v>
      </c>
      <c r="AI611" s="30">
        <v>1110336.8299999998</v>
      </c>
      <c r="AJ611" s="130">
        <v>0</v>
      </c>
    </row>
    <row r="612" spans="1:37" ht="173.25" x14ac:dyDescent="0.25">
      <c r="A612" s="6">
        <v>609</v>
      </c>
      <c r="B612" s="31">
        <v>120313</v>
      </c>
      <c r="C612" s="11">
        <v>9</v>
      </c>
      <c r="D612" s="11" t="s">
        <v>143</v>
      </c>
      <c r="E612" s="10" t="s">
        <v>107</v>
      </c>
      <c r="F612" s="11" t="s">
        <v>49</v>
      </c>
      <c r="G612" s="27" t="s">
        <v>1717</v>
      </c>
      <c r="H612" s="11" t="s">
        <v>164</v>
      </c>
      <c r="I612" s="46" t="s">
        <v>50</v>
      </c>
      <c r="J612" s="25">
        <v>42538</v>
      </c>
      <c r="K612" s="25">
        <v>43633</v>
      </c>
      <c r="L612" s="26">
        <f t="shared" si="247"/>
        <v>83.983862848864632</v>
      </c>
      <c r="M612" s="11" t="s">
        <v>136</v>
      </c>
      <c r="N612" s="11" t="s">
        <v>261</v>
      </c>
      <c r="O612" s="11" t="s">
        <v>261</v>
      </c>
      <c r="P612" s="27" t="s">
        <v>138</v>
      </c>
      <c r="Q612" s="11" t="s">
        <v>34</v>
      </c>
      <c r="R612" s="2">
        <f t="shared" si="248"/>
        <v>30189820.119999997</v>
      </c>
      <c r="S612" s="2">
        <v>24345459.629999999</v>
      </c>
      <c r="T612" s="2">
        <v>5844360.4900000002</v>
      </c>
      <c r="U612" s="2">
        <v>1966327.81</v>
      </c>
      <c r="V612" s="28">
        <v>1453132.81</v>
      </c>
      <c r="W612" s="28">
        <v>513195</v>
      </c>
      <c r="X612" s="2">
        <f t="shared" si="250"/>
        <v>3791019.8899999997</v>
      </c>
      <c r="Y612" s="2">
        <v>2843124.76</v>
      </c>
      <c r="Z612" s="2">
        <v>947895.13</v>
      </c>
      <c r="AA612" s="2">
        <f t="shared" si="251"/>
        <v>0</v>
      </c>
      <c r="AB612" s="2">
        <v>0</v>
      </c>
      <c r="AC612" s="2">
        <v>0</v>
      </c>
      <c r="AD612" s="16">
        <f t="shared" si="240"/>
        <v>35947167.819999993</v>
      </c>
      <c r="AE612" s="2">
        <v>0</v>
      </c>
      <c r="AF612" s="2">
        <f t="shared" si="252"/>
        <v>35947167.819999993</v>
      </c>
      <c r="AG612" s="21" t="s">
        <v>857</v>
      </c>
      <c r="AH612" s="29" t="s">
        <v>984</v>
      </c>
      <c r="AI612" s="30">
        <v>26274093.779999994</v>
      </c>
      <c r="AJ612" s="130">
        <v>1669405.63</v>
      </c>
    </row>
    <row r="613" spans="1:37" ht="330.75" x14ac:dyDescent="0.25">
      <c r="A613" s="6">
        <v>610</v>
      </c>
      <c r="B613" s="31">
        <v>121644</v>
      </c>
      <c r="C613" s="11">
        <v>10</v>
      </c>
      <c r="D613" s="11" t="s">
        <v>143</v>
      </c>
      <c r="E613" s="10" t="s">
        <v>107</v>
      </c>
      <c r="F613" s="11" t="s">
        <v>1875</v>
      </c>
      <c r="G613" s="11" t="s">
        <v>1716</v>
      </c>
      <c r="H613" s="8" t="s">
        <v>151</v>
      </c>
      <c r="I613" s="46" t="s">
        <v>51</v>
      </c>
      <c r="J613" s="25">
        <v>42538</v>
      </c>
      <c r="K613" s="25">
        <v>43298</v>
      </c>
      <c r="L613" s="26">
        <f t="shared" si="247"/>
        <v>83.983862739322618</v>
      </c>
      <c r="M613" s="11" t="s">
        <v>136</v>
      </c>
      <c r="N613" s="11" t="s">
        <v>261</v>
      </c>
      <c r="O613" s="11" t="s">
        <v>261</v>
      </c>
      <c r="P613" s="27" t="s">
        <v>138</v>
      </c>
      <c r="Q613" s="11" t="s">
        <v>34</v>
      </c>
      <c r="R613" s="2">
        <f t="shared" si="248"/>
        <v>2777962.48</v>
      </c>
      <c r="S613" s="2">
        <v>2240184.71</v>
      </c>
      <c r="T613" s="2">
        <v>537777.77</v>
      </c>
      <c r="U613" s="2">
        <f t="shared" ref="U613:U644" si="253">V613+W613</f>
        <v>0</v>
      </c>
      <c r="V613" s="28">
        <v>0</v>
      </c>
      <c r="W613" s="28">
        <v>0</v>
      </c>
      <c r="X613" s="2">
        <f t="shared" si="250"/>
        <v>529771.16</v>
      </c>
      <c r="Y613" s="2">
        <v>395326.72000000003</v>
      </c>
      <c r="Z613" s="2">
        <v>134444.44</v>
      </c>
      <c r="AA613" s="2">
        <f t="shared" si="251"/>
        <v>0</v>
      </c>
      <c r="AB613" s="2">
        <v>0</v>
      </c>
      <c r="AC613" s="2">
        <v>0</v>
      </c>
      <c r="AD613" s="16">
        <f t="shared" si="240"/>
        <v>3307733.64</v>
      </c>
      <c r="AE613" s="2">
        <v>192499.20000000001</v>
      </c>
      <c r="AF613" s="2">
        <f t="shared" si="252"/>
        <v>3500232.8400000003</v>
      </c>
      <c r="AG613" s="21" t="s">
        <v>857</v>
      </c>
      <c r="AH613" s="29" t="s">
        <v>195</v>
      </c>
      <c r="AI613" s="30">
        <v>2635526.38</v>
      </c>
      <c r="AJ613" s="130">
        <v>0</v>
      </c>
    </row>
    <row r="614" spans="1:37" ht="252" x14ac:dyDescent="0.25">
      <c r="A614" s="6">
        <v>611</v>
      </c>
      <c r="B614" s="31">
        <v>118305</v>
      </c>
      <c r="C614" s="11">
        <v>11</v>
      </c>
      <c r="D614" s="11" t="s">
        <v>143</v>
      </c>
      <c r="E614" s="10" t="s">
        <v>107</v>
      </c>
      <c r="F614" s="11" t="s">
        <v>53</v>
      </c>
      <c r="G614" s="11" t="s">
        <v>52</v>
      </c>
      <c r="H614" s="11" t="s">
        <v>164</v>
      </c>
      <c r="I614" s="46" t="s">
        <v>54</v>
      </c>
      <c r="J614" s="25">
        <v>42467</v>
      </c>
      <c r="K614" s="25">
        <v>43562</v>
      </c>
      <c r="L614" s="26">
        <f t="shared" si="247"/>
        <v>83.98386392846011</v>
      </c>
      <c r="M614" s="11" t="s">
        <v>136</v>
      </c>
      <c r="N614" s="11" t="s">
        <v>261</v>
      </c>
      <c r="O614" s="11" t="s">
        <v>261</v>
      </c>
      <c r="P614" s="27" t="s">
        <v>138</v>
      </c>
      <c r="Q614" s="11" t="s">
        <v>34</v>
      </c>
      <c r="R614" s="2">
        <f t="shared" si="248"/>
        <v>13566063.25</v>
      </c>
      <c r="S614" s="2">
        <v>10939848.08</v>
      </c>
      <c r="T614" s="2">
        <v>2626215.17</v>
      </c>
      <c r="U614" s="2">
        <f t="shared" si="253"/>
        <v>0</v>
      </c>
      <c r="V614" s="28">
        <v>0</v>
      </c>
      <c r="W614" s="28">
        <v>0</v>
      </c>
      <c r="X614" s="2">
        <f t="shared" si="250"/>
        <v>2587115.0099999998</v>
      </c>
      <c r="Y614" s="2">
        <v>1930561.24</v>
      </c>
      <c r="Z614" s="2">
        <v>656553.77</v>
      </c>
      <c r="AA614" s="2">
        <f t="shared" si="251"/>
        <v>0</v>
      </c>
      <c r="AB614" s="2">
        <v>0</v>
      </c>
      <c r="AC614" s="2">
        <v>0</v>
      </c>
      <c r="AD614" s="16">
        <f t="shared" si="240"/>
        <v>16153178.26</v>
      </c>
      <c r="AE614" s="2">
        <v>0</v>
      </c>
      <c r="AF614" s="2">
        <f t="shared" si="252"/>
        <v>16153178.26</v>
      </c>
      <c r="AG614" s="21" t="s">
        <v>857</v>
      </c>
      <c r="AH614" s="29" t="s">
        <v>876</v>
      </c>
      <c r="AI614" s="30">
        <v>12427497.709999997</v>
      </c>
      <c r="AJ614" s="130">
        <v>0</v>
      </c>
    </row>
    <row r="615" spans="1:37" ht="157.5" x14ac:dyDescent="0.25">
      <c r="A615" s="6">
        <v>612</v>
      </c>
      <c r="B615" s="31">
        <v>118349</v>
      </c>
      <c r="C615" s="11">
        <v>13</v>
      </c>
      <c r="D615" s="11" t="s">
        <v>143</v>
      </c>
      <c r="E615" s="10" t="s">
        <v>107</v>
      </c>
      <c r="F615" s="11" t="s">
        <v>56</v>
      </c>
      <c r="G615" s="11" t="s">
        <v>55</v>
      </c>
      <c r="H615" s="11" t="s">
        <v>162</v>
      </c>
      <c r="I615" s="46" t="s">
        <v>57</v>
      </c>
      <c r="J615" s="25">
        <v>42663</v>
      </c>
      <c r="K615" s="25">
        <v>45097</v>
      </c>
      <c r="L615" s="26">
        <f t="shared" si="247"/>
        <v>83.983862819250106</v>
      </c>
      <c r="M615" s="11" t="s">
        <v>136</v>
      </c>
      <c r="N615" s="11" t="s">
        <v>261</v>
      </c>
      <c r="O615" s="11" t="s">
        <v>261</v>
      </c>
      <c r="P615" s="27" t="s">
        <v>138</v>
      </c>
      <c r="Q615" s="11" t="s">
        <v>34</v>
      </c>
      <c r="R615" s="2">
        <f t="shared" si="248"/>
        <v>8904385.9900000002</v>
      </c>
      <c r="S615" s="2">
        <v>7180611.5199999996</v>
      </c>
      <c r="T615" s="2">
        <v>1723774.47</v>
      </c>
      <c r="U615" s="2">
        <f t="shared" si="253"/>
        <v>0</v>
      </c>
      <c r="V615" s="28">
        <v>0</v>
      </c>
      <c r="W615" s="28">
        <v>0</v>
      </c>
      <c r="X615" s="2">
        <f t="shared" si="250"/>
        <v>1698110.3599999999</v>
      </c>
      <c r="Y615" s="2">
        <v>1267166.72</v>
      </c>
      <c r="Z615" s="2">
        <v>430943.64</v>
      </c>
      <c r="AA615" s="2">
        <f t="shared" si="251"/>
        <v>0</v>
      </c>
      <c r="AB615" s="2">
        <v>0</v>
      </c>
      <c r="AC615" s="2">
        <v>0</v>
      </c>
      <c r="AD615" s="16">
        <f t="shared" si="240"/>
        <v>10602496.35</v>
      </c>
      <c r="AE615" s="2">
        <v>0</v>
      </c>
      <c r="AF615" s="2">
        <f t="shared" si="252"/>
        <v>10602496.35</v>
      </c>
      <c r="AG615" s="38" t="s">
        <v>486</v>
      </c>
      <c r="AH615" s="29" t="s">
        <v>1833</v>
      </c>
      <c r="AI615" s="30">
        <f>3218564.52+133092.52+172302.59+92594.73+28511.69</f>
        <v>3645066.05</v>
      </c>
      <c r="AJ615" s="130">
        <v>0</v>
      </c>
    </row>
    <row r="616" spans="1:37" ht="362.25" x14ac:dyDescent="0.25">
      <c r="A616" s="6">
        <v>613</v>
      </c>
      <c r="B616" s="31">
        <v>120068</v>
      </c>
      <c r="C616" s="11">
        <v>55</v>
      </c>
      <c r="D616" s="11" t="s">
        <v>145</v>
      </c>
      <c r="E616" s="10" t="s">
        <v>123</v>
      </c>
      <c r="F616" s="11" t="s">
        <v>100</v>
      </c>
      <c r="G616" s="11" t="s">
        <v>99</v>
      </c>
      <c r="H616" s="11" t="s">
        <v>157</v>
      </c>
      <c r="I616" s="46" t="s">
        <v>101</v>
      </c>
      <c r="J616" s="25">
        <v>43060</v>
      </c>
      <c r="K616" s="25">
        <v>44186</v>
      </c>
      <c r="L616" s="26">
        <f t="shared" si="247"/>
        <v>83.983862867470734</v>
      </c>
      <c r="M616" s="11" t="s">
        <v>136</v>
      </c>
      <c r="N616" s="11" t="s">
        <v>261</v>
      </c>
      <c r="O616" s="11" t="s">
        <v>261</v>
      </c>
      <c r="P616" s="11" t="s">
        <v>138</v>
      </c>
      <c r="Q616" s="11" t="s">
        <v>34</v>
      </c>
      <c r="R616" s="2">
        <f t="shared" si="248"/>
        <v>8678209.1799999997</v>
      </c>
      <c r="S616" s="2">
        <v>6998219.6100000003</v>
      </c>
      <c r="T616" s="2">
        <v>1679989.57</v>
      </c>
      <c r="U616" s="2">
        <f t="shared" si="253"/>
        <v>0</v>
      </c>
      <c r="V616" s="28">
        <v>0</v>
      </c>
      <c r="W616" s="28">
        <v>0</v>
      </c>
      <c r="X616" s="2">
        <f t="shared" si="250"/>
        <v>1654977.3199999998</v>
      </c>
      <c r="Y616" s="2">
        <v>1234979.93</v>
      </c>
      <c r="Z616" s="2">
        <v>419997.39</v>
      </c>
      <c r="AA616" s="2">
        <f t="shared" si="251"/>
        <v>0</v>
      </c>
      <c r="AB616" s="2">
        <v>0</v>
      </c>
      <c r="AC616" s="2">
        <v>0</v>
      </c>
      <c r="AD616" s="16">
        <f t="shared" si="240"/>
        <v>10333186.5</v>
      </c>
      <c r="AE616" s="2">
        <v>0</v>
      </c>
      <c r="AF616" s="2">
        <f t="shared" si="252"/>
        <v>10333186.5</v>
      </c>
      <c r="AG616" s="38" t="s">
        <v>857</v>
      </c>
      <c r="AH616" s="29" t="s">
        <v>1395</v>
      </c>
      <c r="AI616" s="30">
        <f>1310147.31+3031843.03+2328598.7+128384.45</f>
        <v>6798973.4900000002</v>
      </c>
      <c r="AJ616" s="130">
        <v>0</v>
      </c>
    </row>
    <row r="617" spans="1:37" ht="220.5" x14ac:dyDescent="0.25">
      <c r="A617" s="6">
        <v>614</v>
      </c>
      <c r="B617" s="31">
        <v>117846</v>
      </c>
      <c r="C617" s="11">
        <v>16</v>
      </c>
      <c r="D617" s="11" t="s">
        <v>143</v>
      </c>
      <c r="E617" s="10" t="s">
        <v>107</v>
      </c>
      <c r="F617" s="11" t="s">
        <v>108</v>
      </c>
      <c r="G617" s="11" t="s">
        <v>1772</v>
      </c>
      <c r="H617" s="11" t="s">
        <v>166</v>
      </c>
      <c r="I617" s="46" t="s">
        <v>109</v>
      </c>
      <c r="J617" s="25">
        <v>42884</v>
      </c>
      <c r="K617" s="25">
        <v>44498</v>
      </c>
      <c r="L617" s="26">
        <f t="shared" si="247"/>
        <v>83.983862369886609</v>
      </c>
      <c r="M617" s="11" t="s">
        <v>136</v>
      </c>
      <c r="N617" s="11" t="s">
        <v>261</v>
      </c>
      <c r="O617" s="11" t="s">
        <v>261</v>
      </c>
      <c r="P617" s="27" t="s">
        <v>138</v>
      </c>
      <c r="Q617" s="11" t="s">
        <v>34</v>
      </c>
      <c r="R617" s="2">
        <f t="shared" si="248"/>
        <v>12294746.960000001</v>
      </c>
      <c r="S617" s="2">
        <v>9914642.3000000007</v>
      </c>
      <c r="T617" s="2">
        <v>2380104.66</v>
      </c>
      <c r="U617" s="2">
        <f t="shared" si="253"/>
        <v>0</v>
      </c>
      <c r="V617" s="28">
        <v>0</v>
      </c>
      <c r="W617" s="28">
        <v>0</v>
      </c>
      <c r="X617" s="2">
        <f t="shared" si="250"/>
        <v>2344669.0099999998</v>
      </c>
      <c r="Y617" s="2">
        <v>1749642.76</v>
      </c>
      <c r="Z617" s="2">
        <v>595026.25</v>
      </c>
      <c r="AA617" s="2">
        <f t="shared" si="251"/>
        <v>0</v>
      </c>
      <c r="AB617" s="2">
        <v>0</v>
      </c>
      <c r="AC617" s="2">
        <v>0</v>
      </c>
      <c r="AD617" s="16">
        <f t="shared" si="240"/>
        <v>14639415.970000001</v>
      </c>
      <c r="AE617" s="2">
        <v>0</v>
      </c>
      <c r="AF617" s="2">
        <f t="shared" si="252"/>
        <v>14639415.970000001</v>
      </c>
      <c r="AG617" s="38" t="s">
        <v>857</v>
      </c>
      <c r="AH617" s="29" t="s">
        <v>1782</v>
      </c>
      <c r="AI617" s="30">
        <f>7066989.6+1435399.58+120715.89+409904.19+253858.38+392955.44+1293967.21</f>
        <v>10973790.289999999</v>
      </c>
      <c r="AJ617" s="130">
        <v>0</v>
      </c>
    </row>
    <row r="618" spans="1:37" ht="157.5" x14ac:dyDescent="0.25">
      <c r="A618" s="6">
        <v>615</v>
      </c>
      <c r="B618" s="31">
        <v>117841</v>
      </c>
      <c r="C618" s="11">
        <v>17</v>
      </c>
      <c r="D618" s="11" t="s">
        <v>143</v>
      </c>
      <c r="E618" s="10" t="s">
        <v>107</v>
      </c>
      <c r="F618" s="11" t="s">
        <v>60</v>
      </c>
      <c r="G618" s="11" t="s">
        <v>1349</v>
      </c>
      <c r="H618" s="8" t="s">
        <v>151</v>
      </c>
      <c r="I618" s="46" t="s">
        <v>555</v>
      </c>
      <c r="J618" s="25">
        <v>42482</v>
      </c>
      <c r="K618" s="25">
        <v>43760</v>
      </c>
      <c r="L618" s="26">
        <f t="shared" si="247"/>
        <v>83.983862907570995</v>
      </c>
      <c r="M618" s="11" t="s">
        <v>136</v>
      </c>
      <c r="N618" s="11" t="s">
        <v>261</v>
      </c>
      <c r="O618" s="11" t="s">
        <v>261</v>
      </c>
      <c r="P618" s="27" t="s">
        <v>138</v>
      </c>
      <c r="Q618" s="11" t="s">
        <v>34</v>
      </c>
      <c r="R618" s="2">
        <f t="shared" si="248"/>
        <v>9778588.4399999995</v>
      </c>
      <c r="S618" s="2">
        <v>7885579.6299999999</v>
      </c>
      <c r="T618" s="2">
        <v>1893008.81</v>
      </c>
      <c r="U618" s="2">
        <f t="shared" si="253"/>
        <v>0</v>
      </c>
      <c r="V618" s="28">
        <v>0</v>
      </c>
      <c r="W618" s="28">
        <v>0</v>
      </c>
      <c r="X618" s="2">
        <f t="shared" si="250"/>
        <v>1864825.07</v>
      </c>
      <c r="Y618" s="2">
        <v>1391572.85</v>
      </c>
      <c r="Z618" s="2">
        <v>473252.22</v>
      </c>
      <c r="AA618" s="2">
        <f t="shared" si="251"/>
        <v>0</v>
      </c>
      <c r="AB618" s="2">
        <v>0</v>
      </c>
      <c r="AC618" s="2">
        <v>0</v>
      </c>
      <c r="AD618" s="16">
        <f t="shared" si="240"/>
        <v>11643413.51</v>
      </c>
      <c r="AE618" s="2">
        <v>0</v>
      </c>
      <c r="AF618" s="2">
        <f t="shared" si="252"/>
        <v>11643413.51</v>
      </c>
      <c r="AG618" s="21" t="s">
        <v>857</v>
      </c>
      <c r="AH618" s="29" t="s">
        <v>554</v>
      </c>
      <c r="AI618" s="30">
        <v>7520803.0899999999</v>
      </c>
      <c r="AJ618" s="130">
        <v>0</v>
      </c>
    </row>
    <row r="619" spans="1:37" ht="141.75" x14ac:dyDescent="0.25">
      <c r="A619" s="6">
        <v>616</v>
      </c>
      <c r="B619" s="31">
        <v>119195</v>
      </c>
      <c r="C619" s="11">
        <v>18</v>
      </c>
      <c r="D619" s="11" t="s">
        <v>143</v>
      </c>
      <c r="E619" s="10" t="s">
        <v>107</v>
      </c>
      <c r="F619" s="11" t="s">
        <v>61</v>
      </c>
      <c r="G619" s="27" t="s">
        <v>1737</v>
      </c>
      <c r="H619" s="8" t="s">
        <v>151</v>
      </c>
      <c r="I619" s="46" t="s">
        <v>62</v>
      </c>
      <c r="J619" s="25">
        <v>42464</v>
      </c>
      <c r="K619" s="25">
        <v>43528</v>
      </c>
      <c r="L619" s="26">
        <f t="shared" si="247"/>
        <v>83.983863126060598</v>
      </c>
      <c r="M619" s="11" t="s">
        <v>136</v>
      </c>
      <c r="N619" s="11" t="s">
        <v>261</v>
      </c>
      <c r="O619" s="11" t="s">
        <v>261</v>
      </c>
      <c r="P619" s="27" t="s">
        <v>138</v>
      </c>
      <c r="Q619" s="11" t="s">
        <v>34</v>
      </c>
      <c r="R619" s="2">
        <f t="shared" si="248"/>
        <v>3168878.46</v>
      </c>
      <c r="S619" s="2">
        <v>2555424.39</v>
      </c>
      <c r="T619" s="2">
        <v>613454.06999999995</v>
      </c>
      <c r="U619" s="2">
        <f t="shared" si="253"/>
        <v>0</v>
      </c>
      <c r="V619" s="28">
        <v>0</v>
      </c>
      <c r="W619" s="28">
        <v>0</v>
      </c>
      <c r="X619" s="2">
        <f t="shared" si="250"/>
        <v>604320.75</v>
      </c>
      <c r="Y619" s="2">
        <v>450957.23</v>
      </c>
      <c r="Z619" s="2">
        <v>153363.51999999999</v>
      </c>
      <c r="AA619" s="2">
        <f t="shared" si="251"/>
        <v>0</v>
      </c>
      <c r="AB619" s="2">
        <v>0</v>
      </c>
      <c r="AC619" s="2">
        <v>0</v>
      </c>
      <c r="AD619" s="16">
        <f t="shared" si="240"/>
        <v>3773199.21</v>
      </c>
      <c r="AE619" s="2">
        <v>0</v>
      </c>
      <c r="AF619" s="2">
        <f t="shared" si="252"/>
        <v>3773199.21</v>
      </c>
      <c r="AG619" s="21" t="s">
        <v>857</v>
      </c>
      <c r="AH619" s="29" t="s">
        <v>1207</v>
      </c>
      <c r="AI619" s="30">
        <v>2945136.28</v>
      </c>
      <c r="AJ619" s="130">
        <v>0</v>
      </c>
    </row>
    <row r="620" spans="1:37" ht="189" x14ac:dyDescent="0.25">
      <c r="A620" s="6">
        <v>617</v>
      </c>
      <c r="B620" s="31">
        <v>118157</v>
      </c>
      <c r="C620" s="11">
        <v>19</v>
      </c>
      <c r="D620" s="11" t="s">
        <v>143</v>
      </c>
      <c r="E620" s="10" t="s">
        <v>107</v>
      </c>
      <c r="F620" s="11" t="s">
        <v>63</v>
      </c>
      <c r="G620" s="11" t="s">
        <v>1397</v>
      </c>
      <c r="H620" s="8" t="s">
        <v>151</v>
      </c>
      <c r="I620" s="46" t="s">
        <v>64</v>
      </c>
      <c r="J620" s="25">
        <v>42446</v>
      </c>
      <c r="K620" s="25">
        <v>43541</v>
      </c>
      <c r="L620" s="26">
        <f t="shared" si="247"/>
        <v>83.983862865891041</v>
      </c>
      <c r="M620" s="11" t="s">
        <v>136</v>
      </c>
      <c r="N620" s="11" t="s">
        <v>261</v>
      </c>
      <c r="O620" s="11" t="s">
        <v>261</v>
      </c>
      <c r="P620" s="27" t="s">
        <v>138</v>
      </c>
      <c r="Q620" s="11" t="s">
        <v>34</v>
      </c>
      <c r="R620" s="2">
        <f t="shared" si="248"/>
        <v>3627735.48</v>
      </c>
      <c r="S620" s="2">
        <v>2925452.6</v>
      </c>
      <c r="T620" s="2">
        <v>702282.88</v>
      </c>
      <c r="U620" s="2">
        <f t="shared" si="253"/>
        <v>0</v>
      </c>
      <c r="V620" s="28">
        <v>0</v>
      </c>
      <c r="W620" s="28">
        <v>0</v>
      </c>
      <c r="X620" s="2">
        <f t="shared" si="250"/>
        <v>691827.06</v>
      </c>
      <c r="Y620" s="2">
        <v>516256.34</v>
      </c>
      <c r="Z620" s="2">
        <v>175570.72</v>
      </c>
      <c r="AA620" s="2">
        <f t="shared" si="251"/>
        <v>0</v>
      </c>
      <c r="AB620" s="2">
        <v>0</v>
      </c>
      <c r="AC620" s="2">
        <v>0</v>
      </c>
      <c r="AD620" s="16">
        <f t="shared" si="240"/>
        <v>4319562.54</v>
      </c>
      <c r="AE620" s="2">
        <v>0</v>
      </c>
      <c r="AF620" s="2">
        <f t="shared" si="252"/>
        <v>4319562.54</v>
      </c>
      <c r="AG620" s="21" t="s">
        <v>857</v>
      </c>
      <c r="AH620" s="29" t="s">
        <v>585</v>
      </c>
      <c r="AI620" s="30">
        <v>2216294.58</v>
      </c>
      <c r="AJ620" s="130">
        <v>0</v>
      </c>
    </row>
    <row r="621" spans="1:37" ht="141.75" x14ac:dyDescent="0.25">
      <c r="A621" s="6">
        <v>618</v>
      </c>
      <c r="B621" s="31">
        <v>119988</v>
      </c>
      <c r="C621" s="11">
        <v>62</v>
      </c>
      <c r="D621" s="32" t="s">
        <v>1639</v>
      </c>
      <c r="E621" s="10" t="s">
        <v>129</v>
      </c>
      <c r="F621" s="11" t="s">
        <v>131</v>
      </c>
      <c r="G621" s="11" t="s">
        <v>99</v>
      </c>
      <c r="H621" s="27" t="s">
        <v>171</v>
      </c>
      <c r="I621" s="46" t="s">
        <v>132</v>
      </c>
      <c r="J621" s="25">
        <v>43060</v>
      </c>
      <c r="K621" s="25">
        <v>44276</v>
      </c>
      <c r="L621" s="26">
        <f t="shared" si="247"/>
        <v>83.983862758059558</v>
      </c>
      <c r="M621" s="11" t="s">
        <v>136</v>
      </c>
      <c r="N621" s="11" t="s">
        <v>261</v>
      </c>
      <c r="O621" s="11" t="s">
        <v>261</v>
      </c>
      <c r="P621" s="27" t="s">
        <v>138</v>
      </c>
      <c r="Q621" s="11" t="s">
        <v>34</v>
      </c>
      <c r="R621" s="2">
        <f t="shared" si="248"/>
        <v>2116755.06</v>
      </c>
      <c r="S621" s="2">
        <v>1706978.54</v>
      </c>
      <c r="T621" s="2">
        <v>409776.52</v>
      </c>
      <c r="U621" s="2">
        <f t="shared" si="253"/>
        <v>0</v>
      </c>
      <c r="V621" s="28">
        <v>0</v>
      </c>
      <c r="W621" s="28">
        <v>0</v>
      </c>
      <c r="X621" s="2">
        <f t="shared" si="250"/>
        <v>403675.64</v>
      </c>
      <c r="Y621" s="2">
        <v>301231.5</v>
      </c>
      <c r="Z621" s="2">
        <v>102444.14</v>
      </c>
      <c r="AA621" s="2">
        <f t="shared" si="251"/>
        <v>0</v>
      </c>
      <c r="AB621" s="2">
        <v>0</v>
      </c>
      <c r="AC621" s="2">
        <v>0</v>
      </c>
      <c r="AD621" s="16">
        <f t="shared" si="240"/>
        <v>2520430.7000000002</v>
      </c>
      <c r="AE621" s="2"/>
      <c r="AF621" s="2">
        <f t="shared" si="252"/>
        <v>2520430.7000000002</v>
      </c>
      <c r="AG621" s="38" t="s">
        <v>857</v>
      </c>
      <c r="AH621" s="29" t="s">
        <v>1722</v>
      </c>
      <c r="AI621" s="30">
        <f>438530.17+107239.86+867004.39+29421.22+76833.49+304177.28</f>
        <v>1823206.41</v>
      </c>
      <c r="AJ621" s="130">
        <v>0</v>
      </c>
    </row>
    <row r="622" spans="1:37" ht="409.5" x14ac:dyDescent="0.25">
      <c r="A622" s="6">
        <v>619</v>
      </c>
      <c r="B622" s="31">
        <v>118158</v>
      </c>
      <c r="C622" s="11">
        <v>21</v>
      </c>
      <c r="D622" s="11" t="s">
        <v>143</v>
      </c>
      <c r="E622" s="10" t="s">
        <v>107</v>
      </c>
      <c r="F622" s="11" t="s">
        <v>67</v>
      </c>
      <c r="G622" s="11" t="s">
        <v>1397</v>
      </c>
      <c r="H622" s="11" t="s">
        <v>365</v>
      </c>
      <c r="I622" s="46" t="s">
        <v>68</v>
      </c>
      <c r="J622" s="25">
        <v>42516</v>
      </c>
      <c r="K622" s="25">
        <v>43703</v>
      </c>
      <c r="L622" s="26">
        <f t="shared" si="247"/>
        <v>83.983862895923082</v>
      </c>
      <c r="M622" s="11" t="s">
        <v>136</v>
      </c>
      <c r="N622" s="11" t="s">
        <v>261</v>
      </c>
      <c r="O622" s="11" t="s">
        <v>261</v>
      </c>
      <c r="P622" s="27" t="s">
        <v>138</v>
      </c>
      <c r="Q622" s="11" t="s">
        <v>34</v>
      </c>
      <c r="R622" s="2">
        <f t="shared" si="248"/>
        <v>11413787.699999999</v>
      </c>
      <c r="S622" s="2">
        <v>9204225.3699999992</v>
      </c>
      <c r="T622" s="2">
        <v>2209562.33</v>
      </c>
      <c r="U622" s="2">
        <f t="shared" si="253"/>
        <v>0</v>
      </c>
      <c r="V622" s="28">
        <v>0</v>
      </c>
      <c r="W622" s="28">
        <v>0</v>
      </c>
      <c r="X622" s="2">
        <f t="shared" si="250"/>
        <v>2176665.64</v>
      </c>
      <c r="Y622" s="2">
        <v>1624275.04</v>
      </c>
      <c r="Z622" s="2">
        <v>552390.6</v>
      </c>
      <c r="AA622" s="2">
        <f t="shared" si="251"/>
        <v>0</v>
      </c>
      <c r="AB622" s="2">
        <v>0</v>
      </c>
      <c r="AC622" s="2">
        <v>0</v>
      </c>
      <c r="AD622" s="16">
        <f t="shared" si="240"/>
        <v>13590453.34</v>
      </c>
      <c r="AE622" s="2">
        <v>16355.96</v>
      </c>
      <c r="AF622" s="2">
        <f t="shared" si="252"/>
        <v>13606809.300000001</v>
      </c>
      <c r="AG622" s="21" t="s">
        <v>857</v>
      </c>
      <c r="AH622" s="29" t="s">
        <v>1053</v>
      </c>
      <c r="AI622" s="30">
        <v>9335165.3400000017</v>
      </c>
      <c r="AJ622" s="130">
        <v>0</v>
      </c>
      <c r="AK622" s="43"/>
    </row>
    <row r="623" spans="1:37" ht="204.75" x14ac:dyDescent="0.25">
      <c r="A623" s="6">
        <v>620</v>
      </c>
      <c r="B623" s="31">
        <v>118159</v>
      </c>
      <c r="C623" s="11">
        <v>22</v>
      </c>
      <c r="D623" s="11" t="s">
        <v>143</v>
      </c>
      <c r="E623" s="10" t="s">
        <v>107</v>
      </c>
      <c r="F623" s="11" t="s">
        <v>69</v>
      </c>
      <c r="G623" s="11" t="s">
        <v>1397</v>
      </c>
      <c r="H623" s="11" t="s">
        <v>158</v>
      </c>
      <c r="I623" s="46" t="s">
        <v>70</v>
      </c>
      <c r="J623" s="25">
        <v>42446</v>
      </c>
      <c r="K623" s="25">
        <v>43176</v>
      </c>
      <c r="L623" s="26">
        <f t="shared" si="247"/>
        <v>83.983862881462997</v>
      </c>
      <c r="M623" s="11" t="s">
        <v>136</v>
      </c>
      <c r="N623" s="11" t="s">
        <v>261</v>
      </c>
      <c r="O623" s="11" t="s">
        <v>261</v>
      </c>
      <c r="P623" s="27" t="s">
        <v>138</v>
      </c>
      <c r="Q623" s="11" t="s">
        <v>34</v>
      </c>
      <c r="R623" s="2">
        <f t="shared" si="248"/>
        <v>13490539.449999999</v>
      </c>
      <c r="S623" s="2">
        <v>10878944.699999999</v>
      </c>
      <c r="T623" s="2">
        <v>2611594.75</v>
      </c>
      <c r="U623" s="2">
        <f t="shared" si="253"/>
        <v>0</v>
      </c>
      <c r="V623" s="28">
        <v>0</v>
      </c>
      <c r="W623" s="28">
        <v>0</v>
      </c>
      <c r="X623" s="2">
        <f t="shared" si="250"/>
        <v>2572712.4500000002</v>
      </c>
      <c r="Y623" s="2">
        <v>1919813.76</v>
      </c>
      <c r="Z623" s="2">
        <v>652898.68999999994</v>
      </c>
      <c r="AA623" s="2">
        <f t="shared" si="251"/>
        <v>0</v>
      </c>
      <c r="AB623" s="2">
        <v>0</v>
      </c>
      <c r="AC623" s="2">
        <v>0</v>
      </c>
      <c r="AD623" s="16">
        <f t="shared" si="240"/>
        <v>16063251.899999999</v>
      </c>
      <c r="AE623" s="2">
        <v>0</v>
      </c>
      <c r="AF623" s="2">
        <f t="shared" si="252"/>
        <v>16063251.899999999</v>
      </c>
      <c r="AG623" s="21" t="s">
        <v>857</v>
      </c>
      <c r="AH623" s="29" t="s">
        <v>172</v>
      </c>
      <c r="AI623" s="30">
        <v>12372517.5</v>
      </c>
      <c r="AJ623" s="130">
        <v>0</v>
      </c>
    </row>
    <row r="624" spans="1:37" ht="267.75" x14ac:dyDescent="0.25">
      <c r="A624" s="6">
        <v>621</v>
      </c>
      <c r="B624" s="31">
        <v>118427</v>
      </c>
      <c r="C624" s="11">
        <v>23</v>
      </c>
      <c r="D624" s="11" t="s">
        <v>143</v>
      </c>
      <c r="E624" s="10" t="s">
        <v>107</v>
      </c>
      <c r="F624" s="11" t="s">
        <v>72</v>
      </c>
      <c r="G624" s="11" t="s">
        <v>71</v>
      </c>
      <c r="H624" s="8" t="s">
        <v>151</v>
      </c>
      <c r="I624" s="46" t="s">
        <v>73</v>
      </c>
      <c r="J624" s="25">
        <v>42459</v>
      </c>
      <c r="K624" s="25">
        <v>43524</v>
      </c>
      <c r="L624" s="26">
        <f t="shared" si="247"/>
        <v>83.983862468884851</v>
      </c>
      <c r="M624" s="11" t="s">
        <v>136</v>
      </c>
      <c r="N624" s="11" t="s">
        <v>261</v>
      </c>
      <c r="O624" s="11" t="s">
        <v>261</v>
      </c>
      <c r="P624" s="27" t="s">
        <v>138</v>
      </c>
      <c r="Q624" s="11" t="s">
        <v>34</v>
      </c>
      <c r="R624" s="2">
        <f t="shared" si="248"/>
        <v>6252507.0099999998</v>
      </c>
      <c r="S624" s="2">
        <v>5042102.18</v>
      </c>
      <c r="T624" s="2">
        <v>1210404.83</v>
      </c>
      <c r="U624" s="2">
        <f t="shared" si="253"/>
        <v>0</v>
      </c>
      <c r="V624" s="28">
        <v>0</v>
      </c>
      <c r="W624" s="28">
        <v>0</v>
      </c>
      <c r="X624" s="2">
        <f t="shared" si="250"/>
        <v>1192383.98</v>
      </c>
      <c r="Y624" s="2">
        <v>889782.73</v>
      </c>
      <c r="Z624" s="2">
        <v>302601.25</v>
      </c>
      <c r="AA624" s="2">
        <f t="shared" si="251"/>
        <v>0</v>
      </c>
      <c r="AB624" s="2">
        <v>0</v>
      </c>
      <c r="AC624" s="2">
        <v>0</v>
      </c>
      <c r="AD624" s="16">
        <f t="shared" si="240"/>
        <v>7444890.9900000002</v>
      </c>
      <c r="AE624" s="2">
        <v>0</v>
      </c>
      <c r="AF624" s="2">
        <f t="shared" si="252"/>
        <v>7444890.9900000002</v>
      </c>
      <c r="AG624" s="21" t="s">
        <v>857</v>
      </c>
      <c r="AH624" s="136" t="s">
        <v>967</v>
      </c>
      <c r="AI624" s="30">
        <f>6243692.52+7195.7</f>
        <v>6250888.2199999997</v>
      </c>
      <c r="AJ624" s="130">
        <v>0</v>
      </c>
    </row>
    <row r="625" spans="1:109" ht="141.75" x14ac:dyDescent="0.25">
      <c r="A625" s="6">
        <v>622</v>
      </c>
      <c r="B625" s="31">
        <v>118584</v>
      </c>
      <c r="C625" s="11">
        <v>24</v>
      </c>
      <c r="D625" s="11" t="s">
        <v>143</v>
      </c>
      <c r="E625" s="10" t="s">
        <v>107</v>
      </c>
      <c r="F625" s="11" t="s">
        <v>75</v>
      </c>
      <c r="G625" s="11" t="s">
        <v>74</v>
      </c>
      <c r="H625" s="8" t="s">
        <v>151</v>
      </c>
      <c r="I625" s="46" t="s">
        <v>76</v>
      </c>
      <c r="J625" s="25">
        <v>42454</v>
      </c>
      <c r="K625" s="25">
        <v>43610</v>
      </c>
      <c r="L625" s="26">
        <f t="shared" si="247"/>
        <v>83.983862869823341</v>
      </c>
      <c r="M625" s="11" t="s">
        <v>136</v>
      </c>
      <c r="N625" s="11" t="s">
        <v>261</v>
      </c>
      <c r="O625" s="11" t="s">
        <v>261</v>
      </c>
      <c r="P625" s="27" t="s">
        <v>138</v>
      </c>
      <c r="Q625" s="11" t="s">
        <v>34</v>
      </c>
      <c r="R625" s="2">
        <f t="shared" si="248"/>
        <v>2984368.02</v>
      </c>
      <c r="S625" s="2">
        <v>2406632.79</v>
      </c>
      <c r="T625" s="2">
        <v>577735.23</v>
      </c>
      <c r="U625" s="2">
        <f t="shared" si="253"/>
        <v>0</v>
      </c>
      <c r="V625" s="28">
        <v>0</v>
      </c>
      <c r="W625" s="28">
        <v>0</v>
      </c>
      <c r="X625" s="2">
        <f t="shared" si="250"/>
        <v>569133.71</v>
      </c>
      <c r="Y625" s="2">
        <v>424699.9</v>
      </c>
      <c r="Z625" s="2">
        <v>144433.81</v>
      </c>
      <c r="AA625" s="2">
        <f t="shared" si="251"/>
        <v>0</v>
      </c>
      <c r="AB625" s="2">
        <v>0</v>
      </c>
      <c r="AC625" s="2">
        <v>0</v>
      </c>
      <c r="AD625" s="16">
        <f t="shared" si="240"/>
        <v>3553501.73</v>
      </c>
      <c r="AE625" s="2"/>
      <c r="AF625" s="2">
        <f t="shared" si="252"/>
        <v>3553501.73</v>
      </c>
      <c r="AG625" s="21" t="s">
        <v>857</v>
      </c>
      <c r="AH625" s="29" t="s">
        <v>968</v>
      </c>
      <c r="AI625" s="30">
        <v>2743197.24</v>
      </c>
      <c r="AJ625" s="130">
        <v>0</v>
      </c>
    </row>
    <row r="626" spans="1:109" ht="141.75" x14ac:dyDescent="0.25">
      <c r="A626" s="6">
        <v>623</v>
      </c>
      <c r="B626" s="31">
        <v>117835</v>
      </c>
      <c r="C626" s="11">
        <v>25</v>
      </c>
      <c r="D626" s="11" t="s">
        <v>143</v>
      </c>
      <c r="E626" s="10" t="s">
        <v>107</v>
      </c>
      <c r="F626" s="11" t="s">
        <v>77</v>
      </c>
      <c r="G626" s="11" t="s">
        <v>71</v>
      </c>
      <c r="H626" s="11" t="s">
        <v>169</v>
      </c>
      <c r="I626" s="46" t="s">
        <v>78</v>
      </c>
      <c r="J626" s="25">
        <v>42459</v>
      </c>
      <c r="K626" s="25">
        <v>43464</v>
      </c>
      <c r="L626" s="26">
        <f t="shared" si="247"/>
        <v>83.983862877433253</v>
      </c>
      <c r="M626" s="11" t="s">
        <v>136</v>
      </c>
      <c r="N626" s="11" t="s">
        <v>261</v>
      </c>
      <c r="O626" s="11" t="s">
        <v>261</v>
      </c>
      <c r="P626" s="27" t="s">
        <v>138</v>
      </c>
      <c r="Q626" s="11" t="s">
        <v>34</v>
      </c>
      <c r="R626" s="2">
        <f t="shared" si="248"/>
        <v>11174376.890000001</v>
      </c>
      <c r="S626" s="2">
        <v>9011161.3900000006</v>
      </c>
      <c r="T626" s="2">
        <v>2163215.5</v>
      </c>
      <c r="U626" s="2">
        <f t="shared" si="253"/>
        <v>0</v>
      </c>
      <c r="V626" s="28">
        <v>0</v>
      </c>
      <c r="W626" s="28">
        <v>0</v>
      </c>
      <c r="X626" s="2">
        <f t="shared" si="250"/>
        <v>2131008.8199999998</v>
      </c>
      <c r="Y626" s="2">
        <v>1590204.95</v>
      </c>
      <c r="Z626" s="2">
        <v>540803.87</v>
      </c>
      <c r="AA626" s="2">
        <f t="shared" si="251"/>
        <v>0</v>
      </c>
      <c r="AB626" s="2">
        <v>0</v>
      </c>
      <c r="AC626" s="2">
        <v>0</v>
      </c>
      <c r="AD626" s="16">
        <f t="shared" si="240"/>
        <v>13305385.710000001</v>
      </c>
      <c r="AE626" s="2">
        <v>0</v>
      </c>
      <c r="AF626" s="2">
        <f t="shared" si="252"/>
        <v>13305385.710000001</v>
      </c>
      <c r="AG626" s="21" t="s">
        <v>857</v>
      </c>
      <c r="AH626" s="136" t="s">
        <v>851</v>
      </c>
      <c r="AI626" s="30">
        <v>11126144.500000002</v>
      </c>
      <c r="AJ626" s="130">
        <v>0</v>
      </c>
    </row>
    <row r="627" spans="1:109" ht="189" x14ac:dyDescent="0.25">
      <c r="A627" s="6">
        <v>624</v>
      </c>
      <c r="B627" s="31">
        <v>118419</v>
      </c>
      <c r="C627" s="11">
        <v>26</v>
      </c>
      <c r="D627" s="11" t="s">
        <v>143</v>
      </c>
      <c r="E627" s="10" t="s">
        <v>107</v>
      </c>
      <c r="F627" s="11" t="s">
        <v>79</v>
      </c>
      <c r="G627" s="11" t="s">
        <v>71</v>
      </c>
      <c r="H627" s="8" t="s">
        <v>151</v>
      </c>
      <c r="I627" s="46" t="s">
        <v>80</v>
      </c>
      <c r="J627" s="25">
        <v>42458</v>
      </c>
      <c r="K627" s="25">
        <v>43553</v>
      </c>
      <c r="L627" s="26">
        <f t="shared" si="247"/>
        <v>83.983862783018438</v>
      </c>
      <c r="M627" s="11" t="s">
        <v>136</v>
      </c>
      <c r="N627" s="11" t="s">
        <v>261</v>
      </c>
      <c r="O627" s="11" t="s">
        <v>261</v>
      </c>
      <c r="P627" s="27" t="s">
        <v>138</v>
      </c>
      <c r="Q627" s="11" t="s">
        <v>34</v>
      </c>
      <c r="R627" s="2">
        <f t="shared" si="248"/>
        <v>3637178.37</v>
      </c>
      <c r="S627" s="2">
        <v>2933067.47</v>
      </c>
      <c r="T627" s="2">
        <v>704110.9</v>
      </c>
      <c r="U627" s="2">
        <f t="shared" si="253"/>
        <v>0</v>
      </c>
      <c r="V627" s="28">
        <v>0</v>
      </c>
      <c r="W627" s="28">
        <v>0</v>
      </c>
      <c r="X627" s="2">
        <f t="shared" si="250"/>
        <v>693627.87</v>
      </c>
      <c r="Y627" s="2">
        <v>517600.14</v>
      </c>
      <c r="Z627" s="2">
        <v>176027.73</v>
      </c>
      <c r="AA627" s="2">
        <f t="shared" si="251"/>
        <v>0</v>
      </c>
      <c r="AB627" s="2">
        <v>0</v>
      </c>
      <c r="AC627" s="2">
        <v>0</v>
      </c>
      <c r="AD627" s="16">
        <f t="shared" si="240"/>
        <v>4330806.24</v>
      </c>
      <c r="AE627" s="2">
        <v>0</v>
      </c>
      <c r="AF627" s="2">
        <f t="shared" si="252"/>
        <v>4330806.24</v>
      </c>
      <c r="AG627" s="21" t="s">
        <v>857</v>
      </c>
      <c r="AH627" s="29" t="s">
        <v>152</v>
      </c>
      <c r="AI627" s="30">
        <v>3290066.13</v>
      </c>
      <c r="AJ627" s="130">
        <v>0</v>
      </c>
    </row>
    <row r="628" spans="1:109" ht="220.5" x14ac:dyDescent="0.25">
      <c r="A628" s="6">
        <v>625</v>
      </c>
      <c r="B628" s="31">
        <v>118319</v>
      </c>
      <c r="C628" s="11">
        <v>27</v>
      </c>
      <c r="D628" s="11" t="s">
        <v>143</v>
      </c>
      <c r="E628" s="10" t="s">
        <v>107</v>
      </c>
      <c r="F628" s="11" t="s">
        <v>1200</v>
      </c>
      <c r="G628" s="11" t="s">
        <v>1349</v>
      </c>
      <c r="H628" s="11" t="s">
        <v>163</v>
      </c>
      <c r="I628" s="46" t="s">
        <v>2926</v>
      </c>
      <c r="J628" s="25">
        <v>42585</v>
      </c>
      <c r="K628" s="25">
        <v>43680</v>
      </c>
      <c r="L628" s="26">
        <f t="shared" si="247"/>
        <v>83.983862824473448</v>
      </c>
      <c r="M628" s="11" t="s">
        <v>136</v>
      </c>
      <c r="N628" s="11" t="s">
        <v>261</v>
      </c>
      <c r="O628" s="11" t="s">
        <v>261</v>
      </c>
      <c r="P628" s="27" t="s">
        <v>138</v>
      </c>
      <c r="Q628" s="11" t="s">
        <v>34</v>
      </c>
      <c r="R628" s="2">
        <f t="shared" si="248"/>
        <v>17052953.060000002</v>
      </c>
      <c r="S628" s="2">
        <v>13751720.9</v>
      </c>
      <c r="T628" s="2">
        <v>3301232.16</v>
      </c>
      <c r="U628" s="2">
        <f t="shared" si="253"/>
        <v>0</v>
      </c>
      <c r="V628" s="28">
        <v>0</v>
      </c>
      <c r="W628" s="28">
        <v>0</v>
      </c>
      <c r="X628" s="2">
        <f t="shared" si="250"/>
        <v>3252082.32</v>
      </c>
      <c r="Y628" s="2">
        <v>2426774.2799999998</v>
      </c>
      <c r="Z628" s="2">
        <v>825308.04</v>
      </c>
      <c r="AA628" s="2">
        <f t="shared" si="251"/>
        <v>0</v>
      </c>
      <c r="AB628" s="2">
        <v>0</v>
      </c>
      <c r="AC628" s="2">
        <v>0</v>
      </c>
      <c r="AD628" s="16">
        <f t="shared" si="240"/>
        <v>20305035.380000003</v>
      </c>
      <c r="AE628" s="2">
        <v>0</v>
      </c>
      <c r="AF628" s="2">
        <f t="shared" si="252"/>
        <v>20305035.380000003</v>
      </c>
      <c r="AG628" s="21" t="s">
        <v>857</v>
      </c>
      <c r="AH628" s="29" t="s">
        <v>383</v>
      </c>
      <c r="AI628" s="30">
        <v>15213087.200000001</v>
      </c>
      <c r="AJ628" s="130">
        <v>0</v>
      </c>
    </row>
    <row r="629" spans="1:109" ht="220.5" x14ac:dyDescent="0.25">
      <c r="A629" s="6">
        <v>626</v>
      </c>
      <c r="B629" s="31">
        <v>117834</v>
      </c>
      <c r="C629" s="11">
        <v>28</v>
      </c>
      <c r="D629" s="11" t="s">
        <v>143</v>
      </c>
      <c r="E629" s="10" t="s">
        <v>107</v>
      </c>
      <c r="F629" s="11" t="s">
        <v>81</v>
      </c>
      <c r="G629" s="11" t="s">
        <v>71</v>
      </c>
      <c r="H629" s="11" t="s">
        <v>165</v>
      </c>
      <c r="I629" s="46" t="s">
        <v>82</v>
      </c>
      <c r="J629" s="25">
        <v>42515</v>
      </c>
      <c r="K629" s="25">
        <v>44129</v>
      </c>
      <c r="L629" s="26">
        <f t="shared" si="247"/>
        <v>83.983862816553938</v>
      </c>
      <c r="M629" s="11" t="s">
        <v>136</v>
      </c>
      <c r="N629" s="11" t="s">
        <v>261</v>
      </c>
      <c r="O629" s="11" t="s">
        <v>261</v>
      </c>
      <c r="P629" s="27" t="s">
        <v>138</v>
      </c>
      <c r="Q629" s="11" t="s">
        <v>34</v>
      </c>
      <c r="R629" s="2">
        <f t="shared" si="248"/>
        <v>36908560.93</v>
      </c>
      <c r="S629" s="2">
        <v>29763538.75</v>
      </c>
      <c r="T629" s="2">
        <v>7145022.1799999997</v>
      </c>
      <c r="U629" s="2">
        <f t="shared" si="253"/>
        <v>0</v>
      </c>
      <c r="V629" s="28">
        <v>0</v>
      </c>
      <c r="W629" s="28">
        <v>0</v>
      </c>
      <c r="X629" s="2">
        <f t="shared" si="250"/>
        <v>7038644.75</v>
      </c>
      <c r="Y629" s="2">
        <v>5252389.17</v>
      </c>
      <c r="Z629" s="2">
        <v>1786255.58</v>
      </c>
      <c r="AA629" s="2">
        <f t="shared" si="251"/>
        <v>0</v>
      </c>
      <c r="AB629" s="2">
        <v>0</v>
      </c>
      <c r="AC629" s="2">
        <v>0</v>
      </c>
      <c r="AD629" s="16">
        <f t="shared" si="240"/>
        <v>43947205.68</v>
      </c>
      <c r="AE629" s="2">
        <v>0</v>
      </c>
      <c r="AF629" s="2">
        <f t="shared" si="252"/>
        <v>43947205.68</v>
      </c>
      <c r="AG629" s="38" t="s">
        <v>857</v>
      </c>
      <c r="AH629" s="29" t="s">
        <v>1621</v>
      </c>
      <c r="AI629" s="30">
        <f>23206973.77+90624.06+102769.12+61292.35+13166305.98</f>
        <v>36627965.280000001</v>
      </c>
      <c r="AJ629" s="130">
        <v>0</v>
      </c>
    </row>
    <row r="630" spans="1:109" ht="236.25" x14ac:dyDescent="0.25">
      <c r="A630" s="6">
        <v>627</v>
      </c>
      <c r="B630" s="31">
        <v>119993</v>
      </c>
      <c r="C630" s="11">
        <v>29</v>
      </c>
      <c r="D630" s="11" t="s">
        <v>143</v>
      </c>
      <c r="E630" s="10" t="s">
        <v>107</v>
      </c>
      <c r="F630" s="11" t="s">
        <v>84</v>
      </c>
      <c r="G630" s="11" t="s">
        <v>83</v>
      </c>
      <c r="H630" s="11" t="s">
        <v>170</v>
      </c>
      <c r="I630" s="46" t="s">
        <v>85</v>
      </c>
      <c r="J630" s="25">
        <v>42569</v>
      </c>
      <c r="K630" s="25">
        <v>44030</v>
      </c>
      <c r="L630" s="26">
        <f t="shared" si="247"/>
        <v>83.98386282616714</v>
      </c>
      <c r="M630" s="11" t="s">
        <v>136</v>
      </c>
      <c r="N630" s="11" t="s">
        <v>261</v>
      </c>
      <c r="O630" s="11" t="s">
        <v>261</v>
      </c>
      <c r="P630" s="27" t="s">
        <v>138</v>
      </c>
      <c r="Q630" s="11" t="s">
        <v>34</v>
      </c>
      <c r="R630" s="2">
        <f t="shared" si="248"/>
        <v>35912411.909999996</v>
      </c>
      <c r="S630" s="2">
        <v>28960231.329999998</v>
      </c>
      <c r="T630" s="2">
        <v>6952180.5800000001</v>
      </c>
      <c r="U630" s="2">
        <f t="shared" si="253"/>
        <v>0</v>
      </c>
      <c r="V630" s="28">
        <v>0</v>
      </c>
      <c r="W630" s="28">
        <v>0</v>
      </c>
      <c r="X630" s="2">
        <f t="shared" si="250"/>
        <v>6848674.209999999</v>
      </c>
      <c r="Y630" s="2">
        <v>5110629.0599999996</v>
      </c>
      <c r="Z630" s="2">
        <v>1738045.15</v>
      </c>
      <c r="AA630" s="2">
        <f t="shared" si="251"/>
        <v>0</v>
      </c>
      <c r="AB630" s="2">
        <v>0</v>
      </c>
      <c r="AC630" s="2">
        <v>0</v>
      </c>
      <c r="AD630" s="16">
        <f t="shared" si="240"/>
        <v>42761086.119999997</v>
      </c>
      <c r="AE630" s="2">
        <v>0</v>
      </c>
      <c r="AF630" s="2">
        <f t="shared" si="252"/>
        <v>42761086.119999997</v>
      </c>
      <c r="AG630" s="38" t="s">
        <v>857</v>
      </c>
      <c r="AH630" s="136" t="s">
        <v>155</v>
      </c>
      <c r="AI630" s="30">
        <v>28176.63</v>
      </c>
      <c r="AJ630" s="130">
        <v>0</v>
      </c>
    </row>
    <row r="631" spans="1:109" ht="409.5" x14ac:dyDescent="0.25">
      <c r="A631" s="6">
        <v>628</v>
      </c>
      <c r="B631" s="31">
        <v>118292</v>
      </c>
      <c r="C631" s="11">
        <v>30</v>
      </c>
      <c r="D631" s="11" t="s">
        <v>143</v>
      </c>
      <c r="E631" s="10" t="s">
        <v>107</v>
      </c>
      <c r="F631" s="11" t="s">
        <v>86</v>
      </c>
      <c r="G631" s="11" t="s">
        <v>1627</v>
      </c>
      <c r="H631" s="11" t="s">
        <v>160</v>
      </c>
      <c r="I631" s="46" t="s">
        <v>87</v>
      </c>
      <c r="J631" s="25">
        <v>42446</v>
      </c>
      <c r="K631" s="25">
        <v>43237</v>
      </c>
      <c r="L631" s="26">
        <f t="shared" si="247"/>
        <v>83.983862811384185</v>
      </c>
      <c r="M631" s="11" t="s">
        <v>136</v>
      </c>
      <c r="N631" s="11" t="s">
        <v>261</v>
      </c>
      <c r="O631" s="11" t="s">
        <v>261</v>
      </c>
      <c r="P631" s="27" t="s">
        <v>138</v>
      </c>
      <c r="Q631" s="11" t="s">
        <v>34</v>
      </c>
      <c r="R631" s="2">
        <f t="shared" si="248"/>
        <v>23983572.759999998</v>
      </c>
      <c r="S631" s="2">
        <v>19340661.859999999</v>
      </c>
      <c r="T631" s="2">
        <v>4642910.9000000004</v>
      </c>
      <c r="U631" s="2">
        <f t="shared" si="253"/>
        <v>0</v>
      </c>
      <c r="V631" s="28">
        <v>0</v>
      </c>
      <c r="W631" s="28">
        <v>0</v>
      </c>
      <c r="X631" s="2">
        <f t="shared" si="250"/>
        <v>4573785.71</v>
      </c>
      <c r="Y631" s="2">
        <v>3413057.98</v>
      </c>
      <c r="Z631" s="2">
        <v>1160727.73</v>
      </c>
      <c r="AA631" s="2">
        <f t="shared" si="251"/>
        <v>0</v>
      </c>
      <c r="AB631" s="2">
        <v>0</v>
      </c>
      <c r="AC631" s="2">
        <v>0</v>
      </c>
      <c r="AD631" s="16">
        <f t="shared" si="240"/>
        <v>28557358.469999999</v>
      </c>
      <c r="AE631" s="2">
        <v>54654.13</v>
      </c>
      <c r="AF631" s="2">
        <f t="shared" si="252"/>
        <v>28612012.599999998</v>
      </c>
      <c r="AG631" s="21" t="s">
        <v>857</v>
      </c>
      <c r="AH631" s="29" t="s">
        <v>389</v>
      </c>
      <c r="AI631" s="30">
        <v>20408812.109999996</v>
      </c>
      <c r="AJ631" s="130">
        <v>0</v>
      </c>
    </row>
    <row r="632" spans="1:109" ht="141.75" x14ac:dyDescent="0.25">
      <c r="A632" s="6">
        <v>629</v>
      </c>
      <c r="B632" s="31">
        <v>120208</v>
      </c>
      <c r="C632" s="11">
        <v>47</v>
      </c>
      <c r="D632" s="11" t="s">
        <v>143</v>
      </c>
      <c r="E632" s="10" t="s">
        <v>110</v>
      </c>
      <c r="F632" s="11" t="s">
        <v>556</v>
      </c>
      <c r="G632" s="27" t="s">
        <v>1717</v>
      </c>
      <c r="H632" s="8" t="s">
        <v>151</v>
      </c>
      <c r="I632" s="46" t="s">
        <v>558</v>
      </c>
      <c r="J632" s="25">
        <v>42914</v>
      </c>
      <c r="K632" s="25">
        <v>44528</v>
      </c>
      <c r="L632" s="26">
        <f t="shared" si="247"/>
        <v>83.983862845530723</v>
      </c>
      <c r="M632" s="11" t="s">
        <v>136</v>
      </c>
      <c r="N632" s="11" t="s">
        <v>261</v>
      </c>
      <c r="O632" s="11" t="s">
        <v>261</v>
      </c>
      <c r="P632" s="27" t="s">
        <v>138</v>
      </c>
      <c r="Q632" s="11" t="s">
        <v>34</v>
      </c>
      <c r="R632" s="2">
        <f t="shared" si="248"/>
        <v>6033904.6100000003</v>
      </c>
      <c r="S632" s="2">
        <v>4865818.3600000003</v>
      </c>
      <c r="T632" s="2">
        <v>1168086.25</v>
      </c>
      <c r="U632" s="2">
        <f t="shared" si="253"/>
        <v>0</v>
      </c>
      <c r="V632" s="28">
        <v>0</v>
      </c>
      <c r="W632" s="28">
        <v>0</v>
      </c>
      <c r="X632" s="2">
        <f t="shared" si="250"/>
        <v>1150695.3899999999</v>
      </c>
      <c r="Y632" s="2">
        <v>858673.83</v>
      </c>
      <c r="Z632" s="2">
        <v>292021.56</v>
      </c>
      <c r="AA632" s="2">
        <f t="shared" si="251"/>
        <v>0</v>
      </c>
      <c r="AB632" s="2">
        <v>0</v>
      </c>
      <c r="AC632" s="2">
        <v>0</v>
      </c>
      <c r="AD632" s="16">
        <f t="shared" si="240"/>
        <v>7184600</v>
      </c>
      <c r="AE632" s="2">
        <v>0</v>
      </c>
      <c r="AF632" s="2">
        <f t="shared" si="252"/>
        <v>7184600</v>
      </c>
      <c r="AG632" s="38" t="s">
        <v>857</v>
      </c>
      <c r="AH632" s="29" t="s">
        <v>1763</v>
      </c>
      <c r="AI632" s="30">
        <f>2526629.1+206280.33+105340.32</f>
        <v>2838249.75</v>
      </c>
      <c r="AJ632" s="130">
        <v>0</v>
      </c>
    </row>
    <row r="633" spans="1:109" ht="189" x14ac:dyDescent="0.25">
      <c r="A633" s="6">
        <v>630</v>
      </c>
      <c r="B633" s="31">
        <v>119991</v>
      </c>
      <c r="C633" s="11">
        <v>48</v>
      </c>
      <c r="D633" s="11" t="s">
        <v>143</v>
      </c>
      <c r="E633" s="10" t="s">
        <v>110</v>
      </c>
      <c r="F633" s="11" t="s">
        <v>111</v>
      </c>
      <c r="G633" s="11" t="s">
        <v>83</v>
      </c>
      <c r="H633" s="8" t="s">
        <v>151</v>
      </c>
      <c r="I633" s="46" t="s">
        <v>112</v>
      </c>
      <c r="J633" s="25">
        <v>43004</v>
      </c>
      <c r="K633" s="25">
        <v>43916</v>
      </c>
      <c r="L633" s="26">
        <f t="shared" si="247"/>
        <v>83.9838628091575</v>
      </c>
      <c r="M633" s="11" t="s">
        <v>136</v>
      </c>
      <c r="N633" s="11" t="s">
        <v>261</v>
      </c>
      <c r="O633" s="11" t="s">
        <v>261</v>
      </c>
      <c r="P633" s="27" t="s">
        <v>138</v>
      </c>
      <c r="Q633" s="11" t="s">
        <v>34</v>
      </c>
      <c r="R633" s="2">
        <f t="shared" si="248"/>
        <v>12597407.540000001</v>
      </c>
      <c r="S633" s="2">
        <v>10158711.630000001</v>
      </c>
      <c r="T633" s="2">
        <v>2438695.91</v>
      </c>
      <c r="U633" s="2">
        <f t="shared" si="253"/>
        <v>0</v>
      </c>
      <c r="V633" s="28">
        <v>0</v>
      </c>
      <c r="W633" s="28">
        <v>0</v>
      </c>
      <c r="X633" s="2">
        <f t="shared" si="250"/>
        <v>2402387.7999999998</v>
      </c>
      <c r="Y633" s="2">
        <v>1792713.82</v>
      </c>
      <c r="Z633" s="2">
        <v>609673.98</v>
      </c>
      <c r="AA633" s="2">
        <f t="shared" si="251"/>
        <v>0</v>
      </c>
      <c r="AB633" s="2">
        <v>0</v>
      </c>
      <c r="AC633" s="2">
        <v>0</v>
      </c>
      <c r="AD633" s="16">
        <f t="shared" si="240"/>
        <v>14999795.34</v>
      </c>
      <c r="AE633" s="2">
        <v>2999990</v>
      </c>
      <c r="AF633" s="2">
        <f t="shared" si="252"/>
        <v>17999785.34</v>
      </c>
      <c r="AG633" s="38" t="s">
        <v>857</v>
      </c>
      <c r="AH633" s="22" t="s">
        <v>151</v>
      </c>
      <c r="AI633" s="30">
        <v>0</v>
      </c>
      <c r="AJ633" s="137">
        <v>0</v>
      </c>
    </row>
    <row r="634" spans="1:109" s="188" customFormat="1" ht="252" x14ac:dyDescent="0.25">
      <c r="A634" s="6">
        <v>631</v>
      </c>
      <c r="B634" s="31">
        <v>119992</v>
      </c>
      <c r="C634" s="11">
        <v>49</v>
      </c>
      <c r="D634" s="11" t="s">
        <v>143</v>
      </c>
      <c r="E634" s="10" t="s">
        <v>110</v>
      </c>
      <c r="F634" s="11" t="s">
        <v>113</v>
      </c>
      <c r="G634" s="11" t="s">
        <v>83</v>
      </c>
      <c r="H634" s="8" t="s">
        <v>151</v>
      </c>
      <c r="I634" s="46" t="s">
        <v>114</v>
      </c>
      <c r="J634" s="25">
        <v>43004</v>
      </c>
      <c r="K634" s="25">
        <v>43916</v>
      </c>
      <c r="L634" s="26">
        <f t="shared" si="247"/>
        <v>83.98386278575461</v>
      </c>
      <c r="M634" s="11" t="s">
        <v>136</v>
      </c>
      <c r="N634" s="11" t="s">
        <v>261</v>
      </c>
      <c r="O634" s="11" t="s">
        <v>261</v>
      </c>
      <c r="P634" s="27" t="s">
        <v>138</v>
      </c>
      <c r="Q634" s="11" t="s">
        <v>34</v>
      </c>
      <c r="R634" s="2">
        <f t="shared" si="248"/>
        <v>11755282.280000001</v>
      </c>
      <c r="S634" s="2">
        <v>9479610.9800000004</v>
      </c>
      <c r="T634" s="2">
        <v>2275671.2999999998</v>
      </c>
      <c r="U634" s="2">
        <f t="shared" si="253"/>
        <v>0</v>
      </c>
      <c r="V634" s="28">
        <v>0</v>
      </c>
      <c r="W634" s="28">
        <v>0</v>
      </c>
      <c r="X634" s="2">
        <f t="shared" si="250"/>
        <v>2241790.36</v>
      </c>
      <c r="Y634" s="2">
        <v>1672872.53</v>
      </c>
      <c r="Z634" s="2">
        <v>568917.82999999996</v>
      </c>
      <c r="AA634" s="2">
        <f t="shared" si="251"/>
        <v>0</v>
      </c>
      <c r="AB634" s="2">
        <v>0</v>
      </c>
      <c r="AC634" s="2">
        <v>0</v>
      </c>
      <c r="AD634" s="16">
        <f t="shared" si="240"/>
        <v>13997072.640000001</v>
      </c>
      <c r="AE634" s="2">
        <v>0</v>
      </c>
      <c r="AF634" s="2">
        <f t="shared" si="252"/>
        <v>13997072.640000001</v>
      </c>
      <c r="AG634" s="38" t="s">
        <v>857</v>
      </c>
      <c r="AH634" s="22" t="s">
        <v>151</v>
      </c>
      <c r="AI634" s="30">
        <v>0</v>
      </c>
      <c r="AJ634" s="137">
        <v>0</v>
      </c>
    </row>
    <row r="635" spans="1:109" s="188" customFormat="1" ht="173.25" x14ac:dyDescent="0.25">
      <c r="A635" s="6">
        <v>632</v>
      </c>
      <c r="B635" s="31">
        <v>119731</v>
      </c>
      <c r="C635" s="11">
        <v>51</v>
      </c>
      <c r="D635" s="11" t="s">
        <v>143</v>
      </c>
      <c r="E635" s="10" t="s">
        <v>110</v>
      </c>
      <c r="F635" s="11" t="s">
        <v>115</v>
      </c>
      <c r="G635" s="11" t="s">
        <v>55</v>
      </c>
      <c r="H635" s="8" t="s">
        <v>151</v>
      </c>
      <c r="I635" s="46" t="s">
        <v>116</v>
      </c>
      <c r="J635" s="25">
        <v>42956</v>
      </c>
      <c r="K635" s="25">
        <v>45147</v>
      </c>
      <c r="L635" s="26">
        <f t="shared" si="247"/>
        <v>83.983862780427785</v>
      </c>
      <c r="M635" s="11" t="s">
        <v>136</v>
      </c>
      <c r="N635" s="11" t="s">
        <v>261</v>
      </c>
      <c r="O635" s="11" t="s">
        <v>261</v>
      </c>
      <c r="P635" s="27" t="s">
        <v>138</v>
      </c>
      <c r="Q635" s="11" t="s">
        <v>34</v>
      </c>
      <c r="R635" s="2">
        <f t="shared" si="248"/>
        <v>10449475.91</v>
      </c>
      <c r="S635" s="2">
        <v>8426591.9100000001</v>
      </c>
      <c r="T635" s="2">
        <v>2022884</v>
      </c>
      <c r="U635" s="2">
        <f t="shared" si="253"/>
        <v>0</v>
      </c>
      <c r="V635" s="28">
        <v>0</v>
      </c>
      <c r="W635" s="28">
        <v>0</v>
      </c>
      <c r="X635" s="2">
        <f t="shared" si="250"/>
        <v>1992766.64</v>
      </c>
      <c r="Y635" s="2">
        <v>1487045.64</v>
      </c>
      <c r="Z635" s="2">
        <v>505721</v>
      </c>
      <c r="AA635" s="2">
        <f t="shared" si="251"/>
        <v>0</v>
      </c>
      <c r="AB635" s="2">
        <v>0</v>
      </c>
      <c r="AC635" s="2">
        <v>0</v>
      </c>
      <c r="AD635" s="16">
        <f t="shared" si="240"/>
        <v>12442242.550000001</v>
      </c>
      <c r="AE635" s="2">
        <v>0</v>
      </c>
      <c r="AF635" s="2">
        <f t="shared" si="252"/>
        <v>12442242.550000001</v>
      </c>
      <c r="AG635" s="38" t="s">
        <v>486</v>
      </c>
      <c r="AH635" s="29" t="s">
        <v>2538</v>
      </c>
      <c r="AI635" s="30">
        <f>751571.65+520506.47+372497.42+168509.52+160669.36+74116.93+114447.13+65215.99</f>
        <v>2227534.4700000002</v>
      </c>
      <c r="AJ635" s="137">
        <v>0</v>
      </c>
    </row>
    <row r="636" spans="1:109" s="188" customFormat="1" ht="220.5" x14ac:dyDescent="0.25">
      <c r="A636" s="6">
        <v>633</v>
      </c>
      <c r="B636" s="31">
        <v>119741</v>
      </c>
      <c r="C636" s="11">
        <v>63</v>
      </c>
      <c r="D636" s="32" t="s">
        <v>1639</v>
      </c>
      <c r="E636" s="10" t="s">
        <v>129</v>
      </c>
      <c r="F636" s="11" t="s">
        <v>134</v>
      </c>
      <c r="G636" s="11" t="s">
        <v>133</v>
      </c>
      <c r="H636" s="8" t="s">
        <v>151</v>
      </c>
      <c r="I636" s="46" t="s">
        <v>135</v>
      </c>
      <c r="J636" s="25">
        <v>43063</v>
      </c>
      <c r="K636" s="25">
        <v>44189</v>
      </c>
      <c r="L636" s="26">
        <f t="shared" si="247"/>
        <v>83.983863432139401</v>
      </c>
      <c r="M636" s="11" t="s">
        <v>136</v>
      </c>
      <c r="N636" s="11" t="s">
        <v>261</v>
      </c>
      <c r="O636" s="11" t="s">
        <v>261</v>
      </c>
      <c r="P636" s="27" t="s">
        <v>138</v>
      </c>
      <c r="Q636" s="11" t="s">
        <v>34</v>
      </c>
      <c r="R636" s="2">
        <f t="shared" si="248"/>
        <v>2142489.5299999998</v>
      </c>
      <c r="S636" s="2">
        <v>1727731.1199999994</v>
      </c>
      <c r="T636" s="2">
        <v>414758.41000000021</v>
      </c>
      <c r="U636" s="2">
        <f t="shared" si="253"/>
        <v>0</v>
      </c>
      <c r="V636" s="28">
        <v>0</v>
      </c>
      <c r="W636" s="28">
        <v>0</v>
      </c>
      <c r="X636" s="2">
        <f t="shared" si="250"/>
        <v>408583.31</v>
      </c>
      <c r="Y636" s="2">
        <v>304893.74</v>
      </c>
      <c r="Z636" s="2">
        <v>103689.57</v>
      </c>
      <c r="AA636" s="2">
        <f t="shared" si="251"/>
        <v>0</v>
      </c>
      <c r="AB636" s="2">
        <v>0</v>
      </c>
      <c r="AC636" s="2">
        <v>0</v>
      </c>
      <c r="AD636" s="16">
        <f t="shared" si="240"/>
        <v>2551072.84</v>
      </c>
      <c r="AE636" s="2">
        <v>0</v>
      </c>
      <c r="AF636" s="2">
        <f t="shared" si="252"/>
        <v>2551072.84</v>
      </c>
      <c r="AG636" s="38" t="s">
        <v>857</v>
      </c>
      <c r="AH636" s="29" t="s">
        <v>1671</v>
      </c>
      <c r="AI636" s="30">
        <f>1030343.44+458119.11+71702.9</f>
        <v>1560165.4499999997</v>
      </c>
      <c r="AJ636" s="137">
        <v>0</v>
      </c>
      <c r="AK636" s="179"/>
      <c r="AL636" s="179"/>
      <c r="AM636" s="179"/>
      <c r="AN636" s="179"/>
      <c r="AO636" s="179"/>
      <c r="AP636" s="179"/>
      <c r="AQ636" s="179"/>
      <c r="AR636" s="179"/>
      <c r="AS636" s="179"/>
      <c r="AT636" s="179"/>
      <c r="AU636" s="179"/>
      <c r="AV636" s="179"/>
      <c r="AW636" s="179"/>
      <c r="AX636" s="179"/>
      <c r="AY636" s="179"/>
      <c r="AZ636" s="179"/>
      <c r="BA636" s="179"/>
      <c r="BB636" s="179"/>
      <c r="BC636" s="179"/>
      <c r="BD636" s="179"/>
      <c r="BE636" s="179"/>
      <c r="BF636" s="179"/>
      <c r="BG636" s="179"/>
      <c r="BH636" s="179"/>
      <c r="BI636" s="179"/>
      <c r="BJ636" s="179"/>
      <c r="BK636" s="179"/>
      <c r="BL636" s="179"/>
      <c r="BM636" s="179"/>
      <c r="BN636" s="179"/>
      <c r="BO636" s="179"/>
      <c r="BP636" s="179"/>
      <c r="BQ636" s="179"/>
      <c r="BR636" s="179"/>
      <c r="BS636" s="179"/>
      <c r="BT636" s="179"/>
      <c r="BU636" s="179"/>
      <c r="BV636" s="179"/>
      <c r="BW636" s="179"/>
      <c r="BX636" s="179"/>
      <c r="BY636" s="179"/>
      <c r="BZ636" s="179"/>
      <c r="CA636" s="179"/>
      <c r="CB636" s="179"/>
      <c r="CC636" s="179"/>
      <c r="CD636" s="179"/>
      <c r="CE636" s="179"/>
      <c r="CF636" s="179"/>
      <c r="CG636" s="179"/>
      <c r="CH636" s="179"/>
      <c r="CI636" s="179"/>
      <c r="CJ636" s="179"/>
      <c r="CK636" s="179"/>
      <c r="CL636" s="179"/>
      <c r="CM636" s="179"/>
      <c r="CN636" s="179"/>
      <c r="CO636" s="179"/>
      <c r="CP636" s="179"/>
      <c r="CQ636" s="179"/>
      <c r="CR636" s="179"/>
      <c r="CS636" s="179"/>
      <c r="CT636" s="179"/>
      <c r="CU636" s="179"/>
      <c r="CV636" s="179"/>
      <c r="CW636" s="179"/>
      <c r="CX636" s="179"/>
      <c r="CY636" s="179"/>
      <c r="CZ636" s="179"/>
      <c r="DA636" s="179"/>
      <c r="DB636" s="179"/>
      <c r="DC636" s="179"/>
      <c r="DD636" s="179"/>
      <c r="DE636" s="179"/>
    </row>
    <row r="637" spans="1:109" s="188" customFormat="1" ht="267.75" x14ac:dyDescent="0.25">
      <c r="A637" s="6">
        <v>634</v>
      </c>
      <c r="B637" s="31">
        <v>119983</v>
      </c>
      <c r="C637" s="11">
        <v>58</v>
      </c>
      <c r="D637" s="11" t="s">
        <v>143</v>
      </c>
      <c r="E637" s="10" t="s">
        <v>110</v>
      </c>
      <c r="F637" s="11" t="s">
        <v>120</v>
      </c>
      <c r="G637" s="11" t="s">
        <v>1397</v>
      </c>
      <c r="H637" s="11" t="s">
        <v>159</v>
      </c>
      <c r="I637" s="46" t="s">
        <v>121</v>
      </c>
      <c r="J637" s="25">
        <v>42963</v>
      </c>
      <c r="K637" s="25">
        <v>44973</v>
      </c>
      <c r="L637" s="26">
        <f t="shared" si="247"/>
        <v>83.983863145848687</v>
      </c>
      <c r="M637" s="11" t="s">
        <v>136</v>
      </c>
      <c r="N637" s="11" t="s">
        <v>261</v>
      </c>
      <c r="O637" s="11" t="s">
        <v>261</v>
      </c>
      <c r="P637" s="27" t="s">
        <v>138</v>
      </c>
      <c r="Q637" s="11" t="s">
        <v>34</v>
      </c>
      <c r="R637" s="2">
        <f t="shared" ref="R637:R668" si="254">S637+T637</f>
        <v>7929466.1100000003</v>
      </c>
      <c r="S637" s="2">
        <v>6394423.5700000003</v>
      </c>
      <c r="T637" s="2">
        <v>1535042.54</v>
      </c>
      <c r="U637" s="2">
        <f t="shared" si="253"/>
        <v>0</v>
      </c>
      <c r="V637" s="28">
        <v>0</v>
      </c>
      <c r="W637" s="28">
        <v>0</v>
      </c>
      <c r="X637" s="2">
        <f t="shared" ref="X637:X668" si="255">Y637+Z637</f>
        <v>1512188.29</v>
      </c>
      <c r="Y637" s="2">
        <v>1128427.6499999999</v>
      </c>
      <c r="Z637" s="2">
        <v>383760.64000000001</v>
      </c>
      <c r="AA637" s="2">
        <f t="shared" ref="AA637:AA668" si="256">AB637+AC637</f>
        <v>0</v>
      </c>
      <c r="AB637" s="2">
        <v>0</v>
      </c>
      <c r="AC637" s="2">
        <v>0</v>
      </c>
      <c r="AD637" s="16">
        <f t="shared" si="240"/>
        <v>9441654.4000000004</v>
      </c>
      <c r="AE637" s="2">
        <v>655333</v>
      </c>
      <c r="AF637" s="2">
        <f t="shared" ref="AF637:AF668" si="257">AD637+AE637</f>
        <v>10096987.4</v>
      </c>
      <c r="AG637" s="38" t="s">
        <v>486</v>
      </c>
      <c r="AH637" s="29" t="s">
        <v>3161</v>
      </c>
      <c r="AI637" s="30">
        <f>27068+159937+61959.1+719797.57+221414.47+187753.57+107980.58+122867.55+589498.4</f>
        <v>2198276.2400000002</v>
      </c>
      <c r="AJ637" s="137">
        <v>0</v>
      </c>
    </row>
    <row r="638" spans="1:109" ht="267.75" x14ac:dyDescent="0.25">
      <c r="A638" s="6">
        <v>635</v>
      </c>
      <c r="B638" s="31">
        <v>119957</v>
      </c>
      <c r="C638" s="11">
        <v>136</v>
      </c>
      <c r="D638" s="11" t="s">
        <v>146</v>
      </c>
      <c r="E638" s="10" t="s">
        <v>126</v>
      </c>
      <c r="F638" s="11" t="s">
        <v>127</v>
      </c>
      <c r="G638" s="11" t="s">
        <v>74</v>
      </c>
      <c r="H638" s="11" t="s">
        <v>1361</v>
      </c>
      <c r="I638" s="46" t="s">
        <v>128</v>
      </c>
      <c r="J638" s="25">
        <v>43047</v>
      </c>
      <c r="K638" s="25">
        <v>44812</v>
      </c>
      <c r="L638" s="26">
        <f t="shared" si="247"/>
        <v>83.983862817182768</v>
      </c>
      <c r="M638" s="11" t="s">
        <v>136</v>
      </c>
      <c r="N638" s="11" t="s">
        <v>261</v>
      </c>
      <c r="O638" s="11" t="s">
        <v>261</v>
      </c>
      <c r="P638" s="27" t="s">
        <v>138</v>
      </c>
      <c r="Q638" s="11" t="s">
        <v>34</v>
      </c>
      <c r="R638" s="2">
        <f t="shared" si="254"/>
        <v>30125053.869999997</v>
      </c>
      <c r="S638" s="2">
        <v>24293231.27</v>
      </c>
      <c r="T638" s="2">
        <v>5831822.5999999996</v>
      </c>
      <c r="U638" s="2">
        <f t="shared" si="253"/>
        <v>0</v>
      </c>
      <c r="V638" s="28">
        <v>0</v>
      </c>
      <c r="W638" s="28">
        <v>0</v>
      </c>
      <c r="X638" s="2">
        <f t="shared" si="255"/>
        <v>5744996.4699999997</v>
      </c>
      <c r="Y638" s="2">
        <v>4287040.8499999996</v>
      </c>
      <c r="Z638" s="2">
        <v>1457955.62</v>
      </c>
      <c r="AA638" s="2">
        <f t="shared" si="256"/>
        <v>0</v>
      </c>
      <c r="AB638" s="2">
        <v>0</v>
      </c>
      <c r="AC638" s="2">
        <v>0</v>
      </c>
      <c r="AD638" s="16">
        <f t="shared" si="240"/>
        <v>35870050.339999996</v>
      </c>
      <c r="AE638" s="2">
        <v>0</v>
      </c>
      <c r="AF638" s="2">
        <f t="shared" si="257"/>
        <v>35870050.339999996</v>
      </c>
      <c r="AG638" s="38" t="s">
        <v>857</v>
      </c>
      <c r="AH638" s="29" t="s">
        <v>2045</v>
      </c>
      <c r="AI638" s="30">
        <f>2761684.65+10585240.81+72837.53+264408.01+275499.82+1926939.26+6815712.67+179426.49+175361.67+1278103.53+187533.44+106549.06+45646.91+4903835.37</f>
        <v>29578779.220000003</v>
      </c>
      <c r="AJ638" s="137">
        <v>0</v>
      </c>
    </row>
    <row r="639" spans="1:109" ht="141.75" x14ac:dyDescent="0.25">
      <c r="A639" s="6">
        <v>636</v>
      </c>
      <c r="B639" s="31">
        <v>110215</v>
      </c>
      <c r="C639" s="11">
        <v>139</v>
      </c>
      <c r="D639" s="11" t="s">
        <v>143</v>
      </c>
      <c r="E639" s="24" t="s">
        <v>270</v>
      </c>
      <c r="F639" s="27" t="s">
        <v>836</v>
      </c>
      <c r="G639" s="27" t="s">
        <v>837</v>
      </c>
      <c r="H639" s="8" t="s">
        <v>151</v>
      </c>
      <c r="I639" s="120" t="s">
        <v>838</v>
      </c>
      <c r="J639" s="25">
        <v>43357</v>
      </c>
      <c r="K639" s="25">
        <v>43844</v>
      </c>
      <c r="L639" s="26">
        <f t="shared" si="247"/>
        <v>82.304183894733001</v>
      </c>
      <c r="M639" s="11" t="s">
        <v>272</v>
      </c>
      <c r="N639" s="11" t="s">
        <v>186</v>
      </c>
      <c r="O639" s="11" t="s">
        <v>839</v>
      </c>
      <c r="P639" s="27" t="s">
        <v>274</v>
      </c>
      <c r="Q639" s="56" t="s">
        <v>34</v>
      </c>
      <c r="R639" s="2">
        <f t="shared" si="254"/>
        <v>799287.37</v>
      </c>
      <c r="S639" s="2">
        <v>644555.61</v>
      </c>
      <c r="T639" s="2">
        <v>154731.76</v>
      </c>
      <c r="U639" s="2">
        <f t="shared" si="253"/>
        <v>152428.06</v>
      </c>
      <c r="V639" s="28">
        <v>113745.12</v>
      </c>
      <c r="W639" s="28">
        <v>38682.94</v>
      </c>
      <c r="X639" s="2">
        <f t="shared" si="255"/>
        <v>0</v>
      </c>
      <c r="Y639" s="2">
        <v>0</v>
      </c>
      <c r="Z639" s="2">
        <v>0</v>
      </c>
      <c r="AA639" s="2">
        <f t="shared" si="256"/>
        <v>19422.77</v>
      </c>
      <c r="AB639" s="2">
        <v>15475.55</v>
      </c>
      <c r="AC639" s="2">
        <v>3947.22</v>
      </c>
      <c r="AD639" s="16">
        <f t="shared" si="240"/>
        <v>971138.2</v>
      </c>
      <c r="AE639" s="2">
        <v>0</v>
      </c>
      <c r="AF639" s="2">
        <f t="shared" si="257"/>
        <v>971138.2</v>
      </c>
      <c r="AG639" s="38" t="s">
        <v>857</v>
      </c>
      <c r="AH639" s="29" t="s">
        <v>1192</v>
      </c>
      <c r="AI639" s="30">
        <f>97000-12225.11+76329.94+54447.72+71579.61+92674.11+104473.49+126688.56+96579.85-13634.34-3831.78</f>
        <v>690082.05</v>
      </c>
      <c r="AJ639" s="130">
        <f>12225.11+10383.44+13650.58+17673.4+19923.6+24160.13+18418.25+13634.34+1533.19</f>
        <v>131602.04</v>
      </c>
    </row>
    <row r="640" spans="1:109" ht="141.75" x14ac:dyDescent="0.25">
      <c r="A640" s="6">
        <v>637</v>
      </c>
      <c r="B640" s="31">
        <v>111983</v>
      </c>
      <c r="C640" s="11">
        <v>238</v>
      </c>
      <c r="D640" s="11" t="s">
        <v>143</v>
      </c>
      <c r="E640" s="24" t="s">
        <v>270</v>
      </c>
      <c r="F640" s="27" t="s">
        <v>512</v>
      </c>
      <c r="G640" s="11" t="s">
        <v>513</v>
      </c>
      <c r="H640" s="8" t="s">
        <v>151</v>
      </c>
      <c r="I640" s="12" t="s">
        <v>2927</v>
      </c>
      <c r="J640" s="25">
        <v>43270</v>
      </c>
      <c r="K640" s="25">
        <v>43880</v>
      </c>
      <c r="L640" s="26">
        <f t="shared" si="247"/>
        <v>82.304184684756876</v>
      </c>
      <c r="M640" s="11" t="s">
        <v>272</v>
      </c>
      <c r="N640" s="11" t="s">
        <v>261</v>
      </c>
      <c r="O640" s="11" t="s">
        <v>261</v>
      </c>
      <c r="P640" s="27" t="s">
        <v>274</v>
      </c>
      <c r="Q640" s="11" t="s">
        <v>34</v>
      </c>
      <c r="R640" s="2">
        <f t="shared" si="254"/>
        <v>768299.49</v>
      </c>
      <c r="S640" s="2">
        <v>619566.6</v>
      </c>
      <c r="T640" s="2">
        <v>148732.89000000001</v>
      </c>
      <c r="U640" s="2">
        <f t="shared" si="253"/>
        <v>146518.51</v>
      </c>
      <c r="V640" s="28">
        <v>109335.29</v>
      </c>
      <c r="W640" s="28">
        <v>37183.22</v>
      </c>
      <c r="X640" s="2">
        <f t="shared" si="255"/>
        <v>0</v>
      </c>
      <c r="Y640" s="2">
        <v>0</v>
      </c>
      <c r="Z640" s="2">
        <v>0</v>
      </c>
      <c r="AA640" s="2">
        <f t="shared" si="256"/>
        <v>18669.759999999998</v>
      </c>
      <c r="AB640" s="2">
        <v>14875.55</v>
      </c>
      <c r="AC640" s="2">
        <v>3794.21</v>
      </c>
      <c r="AD640" s="16">
        <f t="shared" si="240"/>
        <v>933487.76</v>
      </c>
      <c r="AE640" s="2">
        <v>0</v>
      </c>
      <c r="AF640" s="2">
        <f t="shared" si="257"/>
        <v>933487.76</v>
      </c>
      <c r="AG640" s="38" t="s">
        <v>857</v>
      </c>
      <c r="AH640" s="29" t="s">
        <v>1392</v>
      </c>
      <c r="AI640" s="30">
        <f>412300.12+97046.16+93000+18147.29+37314.74</f>
        <v>657808.31000000006</v>
      </c>
      <c r="AJ640" s="130">
        <f>11017.56+15316.94+17051+17506.62+36242.76+21196.3+7116.12</f>
        <v>125447.3</v>
      </c>
    </row>
    <row r="641" spans="1:36" ht="204.75" x14ac:dyDescent="0.25">
      <c r="A641" s="6">
        <v>638</v>
      </c>
      <c r="B641" s="31">
        <v>115784</v>
      </c>
      <c r="C641" s="11">
        <v>388</v>
      </c>
      <c r="D641" s="138" t="s">
        <v>143</v>
      </c>
      <c r="E641" s="139" t="s">
        <v>373</v>
      </c>
      <c r="F641" s="27" t="s">
        <v>639</v>
      </c>
      <c r="G641" s="11" t="s">
        <v>1714</v>
      </c>
      <c r="H641" s="8" t="s">
        <v>151</v>
      </c>
      <c r="I641" s="120" t="s">
        <v>2928</v>
      </c>
      <c r="J641" s="25">
        <v>43297</v>
      </c>
      <c r="K641" s="25">
        <v>44393</v>
      </c>
      <c r="L641" s="26">
        <f t="shared" si="247"/>
        <v>83.98386387291859</v>
      </c>
      <c r="M641" s="11" t="s">
        <v>272</v>
      </c>
      <c r="N641" s="11" t="s">
        <v>261</v>
      </c>
      <c r="O641" s="11" t="s">
        <v>261</v>
      </c>
      <c r="P641" s="27" t="s">
        <v>138</v>
      </c>
      <c r="Q641" s="11" t="s">
        <v>34</v>
      </c>
      <c r="R641" s="2">
        <f t="shared" si="254"/>
        <v>2474673.11</v>
      </c>
      <c r="S641" s="2">
        <v>1995608.26</v>
      </c>
      <c r="T641" s="2">
        <v>479064.85</v>
      </c>
      <c r="U641" s="2">
        <f t="shared" si="253"/>
        <v>0</v>
      </c>
      <c r="V641" s="28">
        <v>0</v>
      </c>
      <c r="W641" s="28">
        <v>0</v>
      </c>
      <c r="X641" s="2">
        <f t="shared" si="255"/>
        <v>471932.34</v>
      </c>
      <c r="Y641" s="2">
        <v>352166.13</v>
      </c>
      <c r="Z641" s="2">
        <v>119766.21</v>
      </c>
      <c r="AA641" s="2">
        <f t="shared" si="256"/>
        <v>0</v>
      </c>
      <c r="AB641" s="2">
        <v>0</v>
      </c>
      <c r="AC641" s="2">
        <v>0</v>
      </c>
      <c r="AD641" s="16">
        <f t="shared" si="240"/>
        <v>2946605.4499999997</v>
      </c>
      <c r="AE641" s="2">
        <v>0</v>
      </c>
      <c r="AF641" s="2">
        <f t="shared" si="257"/>
        <v>2946605.4499999997</v>
      </c>
      <c r="AG641" s="38" t="s">
        <v>857</v>
      </c>
      <c r="AH641" s="29" t="s">
        <v>1629</v>
      </c>
      <c r="AI641" s="30">
        <f>547571.35+72285.77+349506.55+195854.16+304943.31</f>
        <v>1470161.14</v>
      </c>
      <c r="AJ641" s="130">
        <v>0</v>
      </c>
    </row>
    <row r="642" spans="1:36" ht="141.75" x14ac:dyDescent="0.25">
      <c r="A642" s="6">
        <v>639</v>
      </c>
      <c r="B642" s="31">
        <v>120082</v>
      </c>
      <c r="C642" s="11">
        <v>56</v>
      </c>
      <c r="D642" s="11" t="s">
        <v>145</v>
      </c>
      <c r="E642" s="10" t="s">
        <v>123</v>
      </c>
      <c r="F642" s="11" t="s">
        <v>124</v>
      </c>
      <c r="G642" s="11" t="s">
        <v>122</v>
      </c>
      <c r="H642" s="11" t="s">
        <v>167</v>
      </c>
      <c r="I642" s="46" t="s">
        <v>125</v>
      </c>
      <c r="J642" s="25">
        <v>43006</v>
      </c>
      <c r="K642" s="25">
        <v>44893</v>
      </c>
      <c r="L642" s="26">
        <f t="shared" si="247"/>
        <v>83.983862982489967</v>
      </c>
      <c r="M642" s="11" t="s">
        <v>136</v>
      </c>
      <c r="N642" s="11" t="s">
        <v>261</v>
      </c>
      <c r="O642" s="11" t="s">
        <v>261</v>
      </c>
      <c r="P642" s="27" t="s">
        <v>138</v>
      </c>
      <c r="Q642" s="11" t="s">
        <v>34</v>
      </c>
      <c r="R642" s="2">
        <f t="shared" si="254"/>
        <v>4979483.55</v>
      </c>
      <c r="S642" s="2">
        <v>4015519.63</v>
      </c>
      <c r="T642" s="2">
        <v>963963.92</v>
      </c>
      <c r="U642" s="2">
        <f t="shared" si="253"/>
        <v>0</v>
      </c>
      <c r="V642" s="28">
        <v>0</v>
      </c>
      <c r="W642" s="28">
        <v>0</v>
      </c>
      <c r="X642" s="2">
        <f t="shared" si="255"/>
        <v>949612.08</v>
      </c>
      <c r="Y642" s="2">
        <v>708621.12</v>
      </c>
      <c r="Z642" s="2">
        <v>240990.96</v>
      </c>
      <c r="AA642" s="2">
        <f t="shared" si="256"/>
        <v>0</v>
      </c>
      <c r="AB642" s="2">
        <v>0</v>
      </c>
      <c r="AC642" s="2">
        <v>0</v>
      </c>
      <c r="AD642" s="16">
        <f t="shared" si="240"/>
        <v>5929095.6299999999</v>
      </c>
      <c r="AE642" s="2">
        <v>0</v>
      </c>
      <c r="AF642" s="2">
        <f t="shared" si="257"/>
        <v>5929095.6299999999</v>
      </c>
      <c r="AG642" s="38" t="s">
        <v>486</v>
      </c>
      <c r="AH642" s="29" t="s">
        <v>2250</v>
      </c>
      <c r="AI642" s="30">
        <f>15818.36+6578.46+48495.02+338393.1+955095.55+38821.54+1658562.29+51202.89</f>
        <v>3112967.2100000004</v>
      </c>
      <c r="AJ642" s="130">
        <v>0</v>
      </c>
    </row>
    <row r="643" spans="1:36" ht="141.75" x14ac:dyDescent="0.25">
      <c r="A643" s="6">
        <v>640</v>
      </c>
      <c r="B643" s="31">
        <v>120126</v>
      </c>
      <c r="C643" s="11">
        <v>57</v>
      </c>
      <c r="D643" s="11" t="s">
        <v>145</v>
      </c>
      <c r="E643" s="10" t="s">
        <v>123</v>
      </c>
      <c r="F643" s="11" t="s">
        <v>102</v>
      </c>
      <c r="G643" s="11" t="s">
        <v>99</v>
      </c>
      <c r="H643" s="8" t="s">
        <v>151</v>
      </c>
      <c r="I643" s="46" t="s">
        <v>103</v>
      </c>
      <c r="J643" s="25">
        <v>43060</v>
      </c>
      <c r="K643" s="25">
        <v>44398</v>
      </c>
      <c r="L643" s="26">
        <f t="shared" si="247"/>
        <v>83.983863040591004</v>
      </c>
      <c r="M643" s="11" t="s">
        <v>136</v>
      </c>
      <c r="N643" s="11" t="s">
        <v>261</v>
      </c>
      <c r="O643" s="11" t="s">
        <v>261</v>
      </c>
      <c r="P643" s="27" t="s">
        <v>138</v>
      </c>
      <c r="Q643" s="11" t="s">
        <v>34</v>
      </c>
      <c r="R643" s="2">
        <f t="shared" si="254"/>
        <v>2709276.17</v>
      </c>
      <c r="S643" s="2">
        <v>2184795.1800000002</v>
      </c>
      <c r="T643" s="2">
        <v>524480.99</v>
      </c>
      <c r="U643" s="2">
        <f t="shared" si="253"/>
        <v>0</v>
      </c>
      <c r="V643" s="28">
        <v>0</v>
      </c>
      <c r="W643" s="28">
        <v>0</v>
      </c>
      <c r="X643" s="2">
        <f t="shared" si="255"/>
        <v>516672.33</v>
      </c>
      <c r="Y643" s="2">
        <v>385552.09</v>
      </c>
      <c r="Z643" s="2">
        <v>131120.24</v>
      </c>
      <c r="AA643" s="2">
        <f t="shared" si="256"/>
        <v>0</v>
      </c>
      <c r="AB643" s="2">
        <v>0</v>
      </c>
      <c r="AC643" s="2">
        <v>0</v>
      </c>
      <c r="AD643" s="16">
        <f t="shared" si="240"/>
        <v>3225948.5</v>
      </c>
      <c r="AE643" s="2">
        <v>0</v>
      </c>
      <c r="AF643" s="2">
        <f t="shared" si="257"/>
        <v>3225948.5</v>
      </c>
      <c r="AG643" s="38" t="s">
        <v>857</v>
      </c>
      <c r="AH643" s="41" t="s">
        <v>1746</v>
      </c>
      <c r="AI643" s="30">
        <f>159377.85+1198087.28+435707.45</f>
        <v>1793172.58</v>
      </c>
      <c r="AJ643" s="130">
        <v>0</v>
      </c>
    </row>
    <row r="644" spans="1:36" ht="346.5" x14ac:dyDescent="0.25">
      <c r="A644" s="6">
        <v>641</v>
      </c>
      <c r="B644" s="31">
        <v>116172</v>
      </c>
      <c r="C644" s="11">
        <v>391</v>
      </c>
      <c r="D644" s="11" t="s">
        <v>143</v>
      </c>
      <c r="E644" s="24" t="s">
        <v>373</v>
      </c>
      <c r="F644" s="27" t="s">
        <v>384</v>
      </c>
      <c r="G644" s="27" t="s">
        <v>1678</v>
      </c>
      <c r="H644" s="27" t="s">
        <v>385</v>
      </c>
      <c r="I644" s="12" t="s">
        <v>446</v>
      </c>
      <c r="J644" s="25">
        <v>43230</v>
      </c>
      <c r="K644" s="25">
        <v>44875</v>
      </c>
      <c r="L644" s="26">
        <f t="shared" si="247"/>
        <v>83.983863333706537</v>
      </c>
      <c r="M644" s="11" t="s">
        <v>272</v>
      </c>
      <c r="N644" s="11" t="s">
        <v>304</v>
      </c>
      <c r="O644" s="11" t="s">
        <v>304</v>
      </c>
      <c r="P644" s="27" t="s">
        <v>138</v>
      </c>
      <c r="Q644" s="11" t="s">
        <v>34</v>
      </c>
      <c r="R644" s="2">
        <f t="shared" si="254"/>
        <v>6129802.7699999996</v>
      </c>
      <c r="S644" s="2">
        <v>4943151.87</v>
      </c>
      <c r="T644" s="2">
        <v>1186650.8999999999</v>
      </c>
      <c r="U644" s="2">
        <f t="shared" si="253"/>
        <v>0</v>
      </c>
      <c r="V644" s="28">
        <v>0</v>
      </c>
      <c r="W644" s="28">
        <v>0</v>
      </c>
      <c r="X644" s="2">
        <f t="shared" si="255"/>
        <v>1168983.6000000001</v>
      </c>
      <c r="Y644" s="2">
        <v>872320.88</v>
      </c>
      <c r="Z644" s="2">
        <v>296662.71999999997</v>
      </c>
      <c r="AA644" s="2">
        <f t="shared" si="256"/>
        <v>0</v>
      </c>
      <c r="AB644" s="2">
        <v>0</v>
      </c>
      <c r="AC644" s="2">
        <v>0</v>
      </c>
      <c r="AD644" s="16">
        <f t="shared" si="240"/>
        <v>7298786.3699999992</v>
      </c>
      <c r="AE644" s="2">
        <v>416388</v>
      </c>
      <c r="AF644" s="2">
        <f t="shared" si="257"/>
        <v>7715174.3699999992</v>
      </c>
      <c r="AG644" s="38" t="s">
        <v>486</v>
      </c>
      <c r="AH644" s="29" t="s">
        <v>2189</v>
      </c>
      <c r="AI644" s="30">
        <f>306350.64+37282.12+71590.36+880535.54+1594555.41+28229.5+27006.69+605254.41+1669064.23+9399.48</f>
        <v>5229268.3800000008</v>
      </c>
      <c r="AJ644" s="130">
        <v>0</v>
      </c>
    </row>
    <row r="645" spans="1:36" s="188" customFormat="1" ht="204.75" x14ac:dyDescent="0.25">
      <c r="A645" s="6">
        <v>642</v>
      </c>
      <c r="B645" s="31">
        <v>118963</v>
      </c>
      <c r="C645" s="11">
        <v>34</v>
      </c>
      <c r="D645" s="32" t="s">
        <v>1639</v>
      </c>
      <c r="E645" s="10" t="s">
        <v>147</v>
      </c>
      <c r="F645" s="11" t="s">
        <v>88</v>
      </c>
      <c r="G645" s="11" t="s">
        <v>74</v>
      </c>
      <c r="H645" s="11" t="s">
        <v>463</v>
      </c>
      <c r="I645" s="46" t="s">
        <v>89</v>
      </c>
      <c r="J645" s="25">
        <v>42629</v>
      </c>
      <c r="K645" s="25">
        <v>43540</v>
      </c>
      <c r="L645" s="26">
        <f t="shared" si="247"/>
        <v>83.983862803496507</v>
      </c>
      <c r="M645" s="11" t="s">
        <v>136</v>
      </c>
      <c r="N645" s="11" t="s">
        <v>261</v>
      </c>
      <c r="O645" s="11" t="s">
        <v>261</v>
      </c>
      <c r="P645" s="27" t="s">
        <v>138</v>
      </c>
      <c r="Q645" s="11" t="s">
        <v>34</v>
      </c>
      <c r="R645" s="2">
        <f t="shared" si="254"/>
        <v>4117071.25</v>
      </c>
      <c r="S645" s="2">
        <v>3320059.26</v>
      </c>
      <c r="T645" s="2">
        <v>797011.99</v>
      </c>
      <c r="U645" s="2">
        <f t="shared" ref="U645:U676" si="258">V645+W645</f>
        <v>0</v>
      </c>
      <c r="V645" s="28">
        <v>0</v>
      </c>
      <c r="W645" s="28">
        <v>0</v>
      </c>
      <c r="X645" s="2">
        <f t="shared" si="255"/>
        <v>785145.81</v>
      </c>
      <c r="Y645" s="2">
        <v>585892.81000000006</v>
      </c>
      <c r="Z645" s="2">
        <v>199253</v>
      </c>
      <c r="AA645" s="2">
        <f t="shared" si="256"/>
        <v>0</v>
      </c>
      <c r="AB645" s="2">
        <v>0</v>
      </c>
      <c r="AC645" s="2">
        <v>0</v>
      </c>
      <c r="AD645" s="16">
        <f t="shared" ref="AD645:AD708" si="259">R645+U645+X645+AA645</f>
        <v>4902217.0600000005</v>
      </c>
      <c r="AE645" s="2">
        <v>0</v>
      </c>
      <c r="AF645" s="2">
        <f t="shared" si="257"/>
        <v>4902217.0600000005</v>
      </c>
      <c r="AG645" s="21" t="s">
        <v>857</v>
      </c>
      <c r="AH645" s="29" t="s">
        <v>153</v>
      </c>
      <c r="AI645" s="30">
        <f>1460741.83+228438.52+391513.86+234930.38+421082.6+869050.66+18896.37</f>
        <v>3624654.22</v>
      </c>
      <c r="AJ645" s="130">
        <v>0</v>
      </c>
    </row>
    <row r="646" spans="1:36" s="188" customFormat="1" ht="141.75" x14ac:dyDescent="0.25">
      <c r="A646" s="6">
        <v>643</v>
      </c>
      <c r="B646" s="31">
        <v>118964</v>
      </c>
      <c r="C646" s="11">
        <v>35</v>
      </c>
      <c r="D646" s="32" t="s">
        <v>1639</v>
      </c>
      <c r="E646" s="10" t="s">
        <v>147</v>
      </c>
      <c r="F646" s="11" t="s">
        <v>90</v>
      </c>
      <c r="G646" s="11" t="s">
        <v>74</v>
      </c>
      <c r="H646" s="11" t="s">
        <v>683</v>
      </c>
      <c r="I646" s="46" t="s">
        <v>91</v>
      </c>
      <c r="J646" s="25">
        <v>42670</v>
      </c>
      <c r="K646" s="25">
        <v>43796</v>
      </c>
      <c r="L646" s="26">
        <f t="shared" si="247"/>
        <v>83.983860041638508</v>
      </c>
      <c r="M646" s="11" t="s">
        <v>136</v>
      </c>
      <c r="N646" s="11" t="s">
        <v>261</v>
      </c>
      <c r="O646" s="11" t="s">
        <v>261</v>
      </c>
      <c r="P646" s="27" t="s">
        <v>138</v>
      </c>
      <c r="Q646" s="11" t="s">
        <v>34</v>
      </c>
      <c r="R646" s="2">
        <f t="shared" si="254"/>
        <v>1279634.26</v>
      </c>
      <c r="S646" s="2">
        <v>1031913.55</v>
      </c>
      <c r="T646" s="2">
        <v>247720.71</v>
      </c>
      <c r="U646" s="2">
        <f t="shared" si="258"/>
        <v>0</v>
      </c>
      <c r="V646" s="28">
        <v>0</v>
      </c>
      <c r="W646" s="28">
        <v>0</v>
      </c>
      <c r="X646" s="2">
        <f t="shared" si="255"/>
        <v>244032.62</v>
      </c>
      <c r="Y646" s="2">
        <v>182102.42</v>
      </c>
      <c r="Z646" s="2">
        <v>61930.2</v>
      </c>
      <c r="AA646" s="2">
        <f t="shared" si="256"/>
        <v>0</v>
      </c>
      <c r="AB646" s="2">
        <v>0</v>
      </c>
      <c r="AC646" s="2">
        <v>0</v>
      </c>
      <c r="AD646" s="16">
        <f t="shared" si="259"/>
        <v>1523666.88</v>
      </c>
      <c r="AE646" s="2">
        <v>0</v>
      </c>
      <c r="AF646" s="2">
        <f t="shared" si="257"/>
        <v>1523666.88</v>
      </c>
      <c r="AG646" s="21" t="s">
        <v>857</v>
      </c>
      <c r="AH646" s="29" t="s">
        <v>1205</v>
      </c>
      <c r="AI646" s="30">
        <f>122689.41+119337.51+49801.59+108022.55+173686.44+582492.4</f>
        <v>1156029.8999999999</v>
      </c>
      <c r="AJ646" s="130">
        <v>0</v>
      </c>
    </row>
    <row r="647" spans="1:36" s="188" customFormat="1" ht="141.75" x14ac:dyDescent="0.25">
      <c r="A647" s="6">
        <v>644</v>
      </c>
      <c r="B647" s="31">
        <v>119981</v>
      </c>
      <c r="C647" s="11">
        <v>36</v>
      </c>
      <c r="D647" s="32" t="s">
        <v>1639</v>
      </c>
      <c r="E647" s="10" t="s">
        <v>147</v>
      </c>
      <c r="F647" s="11" t="s">
        <v>92</v>
      </c>
      <c r="G647" s="11" t="s">
        <v>71</v>
      </c>
      <c r="H647" s="8" t="s">
        <v>151</v>
      </c>
      <c r="I647" s="46" t="s">
        <v>93</v>
      </c>
      <c r="J647" s="25">
        <v>42579</v>
      </c>
      <c r="K647" s="25">
        <v>43462</v>
      </c>
      <c r="L647" s="26">
        <f t="shared" si="247"/>
        <v>83.983863111728837</v>
      </c>
      <c r="M647" s="11" t="s">
        <v>136</v>
      </c>
      <c r="N647" s="11" t="s">
        <v>261</v>
      </c>
      <c r="O647" s="11" t="s">
        <v>261</v>
      </c>
      <c r="P647" s="27" t="s">
        <v>138</v>
      </c>
      <c r="Q647" s="11" t="s">
        <v>34</v>
      </c>
      <c r="R647" s="2">
        <f t="shared" si="254"/>
        <v>1627939.8599999999</v>
      </c>
      <c r="S647" s="2">
        <v>1312791.6599999999</v>
      </c>
      <c r="T647" s="2">
        <v>315148.2</v>
      </c>
      <c r="U647" s="2">
        <f t="shared" si="258"/>
        <v>0</v>
      </c>
      <c r="V647" s="28">
        <v>0</v>
      </c>
      <c r="W647" s="28">
        <v>0</v>
      </c>
      <c r="X647" s="2">
        <f t="shared" si="255"/>
        <v>310456.15999999997</v>
      </c>
      <c r="Y647" s="2">
        <v>231669.11</v>
      </c>
      <c r="Z647" s="2">
        <v>78787.05</v>
      </c>
      <c r="AA647" s="2">
        <f t="shared" si="256"/>
        <v>0</v>
      </c>
      <c r="AB647" s="2">
        <v>0</v>
      </c>
      <c r="AC647" s="2">
        <v>0</v>
      </c>
      <c r="AD647" s="16">
        <f t="shared" si="259"/>
        <v>1938396.0199999998</v>
      </c>
      <c r="AE647" s="2">
        <v>0</v>
      </c>
      <c r="AF647" s="2">
        <f t="shared" si="257"/>
        <v>1938396.0199999998</v>
      </c>
      <c r="AG647" s="21" t="s">
        <v>857</v>
      </c>
      <c r="AH647" s="29" t="s">
        <v>154</v>
      </c>
      <c r="AI647" s="30">
        <f>559604.06+125761.16+33457.13+622518.23+7475.79+33855.21+3996.8</f>
        <v>1386668.3800000001</v>
      </c>
      <c r="AJ647" s="130">
        <v>0</v>
      </c>
    </row>
    <row r="648" spans="1:36" s="188" customFormat="1" ht="157.5" x14ac:dyDescent="0.25">
      <c r="A648" s="6">
        <v>645</v>
      </c>
      <c r="B648" s="31">
        <v>120414</v>
      </c>
      <c r="C648" s="11">
        <v>61</v>
      </c>
      <c r="D648" s="32" t="s">
        <v>1639</v>
      </c>
      <c r="E648" s="10" t="s">
        <v>129</v>
      </c>
      <c r="F648" s="11" t="s">
        <v>130</v>
      </c>
      <c r="G648" s="27" t="s">
        <v>1717</v>
      </c>
      <c r="H648" s="8" t="s">
        <v>151</v>
      </c>
      <c r="I648" s="46" t="s">
        <v>557</v>
      </c>
      <c r="J648" s="25">
        <v>42893</v>
      </c>
      <c r="K648" s="25">
        <v>44172</v>
      </c>
      <c r="L648" s="26">
        <f t="shared" si="247"/>
        <v>83.983863338887815</v>
      </c>
      <c r="M648" s="11" t="s">
        <v>136</v>
      </c>
      <c r="N648" s="11" t="s">
        <v>261</v>
      </c>
      <c r="O648" s="11" t="s">
        <v>261</v>
      </c>
      <c r="P648" s="27" t="s">
        <v>138</v>
      </c>
      <c r="Q648" s="11" t="s">
        <v>34</v>
      </c>
      <c r="R648" s="2">
        <f t="shared" si="254"/>
        <v>4817465.95</v>
      </c>
      <c r="S648" s="2">
        <v>3884866.57</v>
      </c>
      <c r="T648" s="2">
        <v>932599.38</v>
      </c>
      <c r="U648" s="2">
        <f t="shared" si="258"/>
        <v>0</v>
      </c>
      <c r="V648" s="28">
        <v>0</v>
      </c>
      <c r="W648" s="28">
        <v>0</v>
      </c>
      <c r="X648" s="2">
        <f t="shared" si="255"/>
        <v>918714.5</v>
      </c>
      <c r="Y648" s="2">
        <v>685564.65</v>
      </c>
      <c r="Z648" s="2">
        <v>233149.85</v>
      </c>
      <c r="AA648" s="2">
        <f t="shared" si="256"/>
        <v>0</v>
      </c>
      <c r="AB648" s="2">
        <v>0</v>
      </c>
      <c r="AC648" s="2">
        <v>0</v>
      </c>
      <c r="AD648" s="16">
        <f t="shared" si="259"/>
        <v>5736180.4500000002</v>
      </c>
      <c r="AE648" s="2">
        <v>0</v>
      </c>
      <c r="AF648" s="2">
        <f t="shared" si="257"/>
        <v>5736180.4500000002</v>
      </c>
      <c r="AG648" s="38" t="s">
        <v>857</v>
      </c>
      <c r="AH648" s="29" t="s">
        <v>1606</v>
      </c>
      <c r="AI648" s="30">
        <f>2217957.44+326592.36+100825.99</f>
        <v>2645375.79</v>
      </c>
      <c r="AJ648" s="30">
        <v>116391.22</v>
      </c>
    </row>
    <row r="649" spans="1:36" ht="267.75" x14ac:dyDescent="0.25">
      <c r="A649" s="6">
        <v>646</v>
      </c>
      <c r="B649" s="31">
        <v>116103</v>
      </c>
      <c r="C649" s="11">
        <v>393</v>
      </c>
      <c r="D649" s="11" t="s">
        <v>143</v>
      </c>
      <c r="E649" s="24" t="s">
        <v>373</v>
      </c>
      <c r="F649" s="27" t="s">
        <v>957</v>
      </c>
      <c r="G649" s="11" t="s">
        <v>1349</v>
      </c>
      <c r="H649" s="32" t="s">
        <v>958</v>
      </c>
      <c r="I649" s="12" t="s">
        <v>2929</v>
      </c>
      <c r="J649" s="25">
        <v>43453</v>
      </c>
      <c r="K649" s="25">
        <v>44246</v>
      </c>
      <c r="L649" s="26">
        <f t="shared" si="247"/>
        <v>83.983863795592953</v>
      </c>
      <c r="M649" s="11" t="s">
        <v>272</v>
      </c>
      <c r="N649" s="11" t="s">
        <v>261</v>
      </c>
      <c r="O649" s="11" t="s">
        <v>261</v>
      </c>
      <c r="P649" s="27" t="s">
        <v>138</v>
      </c>
      <c r="Q649" s="11" t="s">
        <v>34</v>
      </c>
      <c r="R649" s="2">
        <f t="shared" si="254"/>
        <v>6662642.3999999994</v>
      </c>
      <c r="S649" s="2">
        <v>5372840.6399999997</v>
      </c>
      <c r="T649" s="2">
        <v>1289801.76</v>
      </c>
      <c r="U649" s="2">
        <f t="shared" si="258"/>
        <v>545363.42999999993</v>
      </c>
      <c r="V649" s="28">
        <v>403028.04</v>
      </c>
      <c r="W649" s="28">
        <v>142335.39000000001</v>
      </c>
      <c r="X649" s="2">
        <f t="shared" si="255"/>
        <v>725235.27</v>
      </c>
      <c r="Y649" s="2">
        <v>545120.19999999995</v>
      </c>
      <c r="Z649" s="2">
        <v>180115.07</v>
      </c>
      <c r="AA649" s="2">
        <f t="shared" si="256"/>
        <v>0</v>
      </c>
      <c r="AB649" s="2">
        <v>0</v>
      </c>
      <c r="AC649" s="2">
        <v>0</v>
      </c>
      <c r="AD649" s="16">
        <f t="shared" si="259"/>
        <v>7933241.0999999996</v>
      </c>
      <c r="AE649" s="37">
        <v>0</v>
      </c>
      <c r="AF649" s="2">
        <f t="shared" si="257"/>
        <v>7933241.0999999996</v>
      </c>
      <c r="AG649" s="38" t="s">
        <v>857</v>
      </c>
      <c r="AH649" s="29" t="s">
        <v>1664</v>
      </c>
      <c r="AI649" s="30">
        <f>389096.78-1942.82+576398.08+532462.27+389096.78+1131389.5+389096.78+586124.42+279664.04+865075.11+534997.11</f>
        <v>5671458.0500000007</v>
      </c>
      <c r="AJ649" s="30">
        <f>30580.48+37794.48+82045.63+142291.25+54004.36+72124.7+46874.39</f>
        <v>465715.29000000004</v>
      </c>
    </row>
    <row r="650" spans="1:36" ht="220.5" x14ac:dyDescent="0.25">
      <c r="A650" s="6">
        <v>647</v>
      </c>
      <c r="B650" s="31">
        <v>116097</v>
      </c>
      <c r="C650" s="11">
        <v>394</v>
      </c>
      <c r="D650" s="138" t="s">
        <v>143</v>
      </c>
      <c r="E650" s="32" t="s">
        <v>373</v>
      </c>
      <c r="F650" s="11" t="s">
        <v>1633</v>
      </c>
      <c r="G650" s="11" t="s">
        <v>1397</v>
      </c>
      <c r="H650" s="11" t="s">
        <v>422</v>
      </c>
      <c r="I650" s="120" t="s">
        <v>2930</v>
      </c>
      <c r="J650" s="25">
        <v>43284</v>
      </c>
      <c r="K650" s="25">
        <v>44898</v>
      </c>
      <c r="L650" s="26">
        <f t="shared" si="247"/>
        <v>83.983862774791262</v>
      </c>
      <c r="M650" s="11" t="s">
        <v>272</v>
      </c>
      <c r="N650" s="11" t="s">
        <v>261</v>
      </c>
      <c r="O650" s="11" t="s">
        <v>261</v>
      </c>
      <c r="P650" s="27" t="s">
        <v>138</v>
      </c>
      <c r="Q650" s="11" t="s">
        <v>34</v>
      </c>
      <c r="R650" s="2">
        <f t="shared" si="254"/>
        <v>6396515.5899999999</v>
      </c>
      <c r="S650" s="2">
        <v>5158232.53</v>
      </c>
      <c r="T650" s="2">
        <v>1238283.06</v>
      </c>
      <c r="U650" s="2">
        <f t="shared" si="258"/>
        <v>472527.32999999996</v>
      </c>
      <c r="V650" s="28">
        <v>349201.67</v>
      </c>
      <c r="W650" s="28">
        <v>123325.66</v>
      </c>
      <c r="X650" s="2">
        <f t="shared" si="255"/>
        <v>747319.77</v>
      </c>
      <c r="Y650" s="2">
        <v>561074.66</v>
      </c>
      <c r="Z650" s="2">
        <v>186245.11</v>
      </c>
      <c r="AA650" s="2">
        <f t="shared" si="256"/>
        <v>0</v>
      </c>
      <c r="AB650" s="2">
        <v>0</v>
      </c>
      <c r="AC650" s="2">
        <v>0</v>
      </c>
      <c r="AD650" s="16">
        <f t="shared" si="259"/>
        <v>7616362.6899999995</v>
      </c>
      <c r="AE650" s="2">
        <v>0</v>
      </c>
      <c r="AF650" s="2">
        <f t="shared" si="257"/>
        <v>7616362.6899999995</v>
      </c>
      <c r="AG650" s="38" t="s">
        <v>486</v>
      </c>
      <c r="AH650" s="29" t="s">
        <v>1990</v>
      </c>
      <c r="AI650" s="30">
        <f>253980+93643.83+161611.12+512990.05+229365.98+135687.68+57767.45+654694.55</f>
        <v>2099740.66</v>
      </c>
      <c r="AJ650" s="30">
        <f>4416.62+33006.45+50458.66+7659.81+6453.45+91375.8</f>
        <v>193370.79</v>
      </c>
    </row>
    <row r="651" spans="1:36" ht="126" x14ac:dyDescent="0.25">
      <c r="A651" s="6">
        <v>648</v>
      </c>
      <c r="B651" s="31">
        <v>122485</v>
      </c>
      <c r="C651" s="11">
        <v>38</v>
      </c>
      <c r="D651" s="10" t="s">
        <v>141</v>
      </c>
      <c r="E651" s="10" t="s">
        <v>24</v>
      </c>
      <c r="F651" s="11" t="s">
        <v>26</v>
      </c>
      <c r="G651" s="27" t="s">
        <v>1717</v>
      </c>
      <c r="H651" s="8" t="s">
        <v>151</v>
      </c>
      <c r="I651" s="46" t="s">
        <v>27</v>
      </c>
      <c r="J651" s="25">
        <v>42488</v>
      </c>
      <c r="K651" s="25">
        <v>45288</v>
      </c>
      <c r="L651" s="26">
        <f t="shared" si="247"/>
        <v>84.695097599999997</v>
      </c>
      <c r="M651" s="11" t="s">
        <v>136</v>
      </c>
      <c r="N651" s="11" t="s">
        <v>261</v>
      </c>
      <c r="O651" s="11" t="s">
        <v>261</v>
      </c>
      <c r="P651" s="27" t="s">
        <v>138</v>
      </c>
      <c r="Q651" s="11" t="s">
        <v>25</v>
      </c>
      <c r="R651" s="2">
        <f t="shared" si="254"/>
        <v>16939019.52</v>
      </c>
      <c r="S651" s="2">
        <v>15963331.810000001</v>
      </c>
      <c r="T651" s="2">
        <v>975687.71</v>
      </c>
      <c r="U651" s="2">
        <f t="shared" si="258"/>
        <v>0</v>
      </c>
      <c r="V651" s="28">
        <v>0</v>
      </c>
      <c r="W651" s="28">
        <v>0</v>
      </c>
      <c r="X651" s="2">
        <f t="shared" si="255"/>
        <v>3060980.48</v>
      </c>
      <c r="Y651" s="2">
        <v>2817058.55</v>
      </c>
      <c r="Z651" s="2">
        <v>243921.93</v>
      </c>
      <c r="AA651" s="2">
        <f t="shared" si="256"/>
        <v>0</v>
      </c>
      <c r="AB651" s="2">
        <v>0</v>
      </c>
      <c r="AC651" s="2">
        <v>0</v>
      </c>
      <c r="AD651" s="16">
        <f t="shared" si="259"/>
        <v>20000000</v>
      </c>
      <c r="AE651" s="2">
        <v>200000</v>
      </c>
      <c r="AF651" s="2">
        <f t="shared" si="257"/>
        <v>20200000</v>
      </c>
      <c r="AG651" s="38" t="s">
        <v>486</v>
      </c>
      <c r="AH651" s="29" t="s">
        <v>852</v>
      </c>
      <c r="AI651" s="114">
        <f>367086.52+3723.41+1413.34+18873.79+125767.27+435205.03+779558.8</f>
        <v>1731628.1600000001</v>
      </c>
      <c r="AJ651" s="140">
        <v>0</v>
      </c>
    </row>
    <row r="652" spans="1:36" ht="78.75" x14ac:dyDescent="0.25">
      <c r="A652" s="6">
        <v>649</v>
      </c>
      <c r="B652" s="31">
        <v>122484</v>
      </c>
      <c r="C652" s="11">
        <v>39</v>
      </c>
      <c r="D652" s="10" t="s">
        <v>140</v>
      </c>
      <c r="E652" s="10" t="s">
        <v>24</v>
      </c>
      <c r="F652" s="11" t="s">
        <v>29</v>
      </c>
      <c r="G652" s="27" t="s">
        <v>1717</v>
      </c>
      <c r="H652" s="8" t="s">
        <v>151</v>
      </c>
      <c r="I652" s="46" t="s">
        <v>30</v>
      </c>
      <c r="J652" s="25">
        <v>42488</v>
      </c>
      <c r="K652" s="25">
        <v>45288</v>
      </c>
      <c r="L652" s="26">
        <f t="shared" si="247"/>
        <v>84.695097596566526</v>
      </c>
      <c r="M652" s="11" t="s">
        <v>136</v>
      </c>
      <c r="N652" s="11" t="s">
        <v>261</v>
      </c>
      <c r="O652" s="11" t="s">
        <v>261</v>
      </c>
      <c r="P652" s="27" t="s">
        <v>138</v>
      </c>
      <c r="Q652" s="11" t="s">
        <v>28</v>
      </c>
      <c r="R652" s="2">
        <f t="shared" si="254"/>
        <v>59201873.219999999</v>
      </c>
      <c r="S652" s="2">
        <v>55791844.670000002</v>
      </c>
      <c r="T652" s="2">
        <v>3410028.55</v>
      </c>
      <c r="U652" s="2">
        <f t="shared" si="258"/>
        <v>0</v>
      </c>
      <c r="V652" s="28">
        <v>0</v>
      </c>
      <c r="W652" s="28">
        <v>0</v>
      </c>
      <c r="X652" s="2">
        <f t="shared" si="255"/>
        <v>10698126.780000001</v>
      </c>
      <c r="Y652" s="2">
        <v>9845619.6400000006</v>
      </c>
      <c r="Z652" s="2">
        <v>852507.14</v>
      </c>
      <c r="AA652" s="2">
        <f t="shared" si="256"/>
        <v>0</v>
      </c>
      <c r="AB652" s="2">
        <v>0</v>
      </c>
      <c r="AC652" s="2">
        <v>0</v>
      </c>
      <c r="AD652" s="16">
        <f t="shared" si="259"/>
        <v>69900000</v>
      </c>
      <c r="AE652" s="2">
        <v>600000</v>
      </c>
      <c r="AF652" s="2">
        <f t="shared" si="257"/>
        <v>70500000</v>
      </c>
      <c r="AG652" s="38" t="s">
        <v>486</v>
      </c>
      <c r="AH652" s="29" t="s">
        <v>853</v>
      </c>
      <c r="AI652" s="30">
        <f>1614958.09+116790.02+175736.29+210865.38+813289.51+430129.67+188786.97+358624.07+959420.67+326293.12+124245.52+1025867.42+58346.81+2159112.67+785570.42+410351.16+123324.41+338547.21</f>
        <v>10220259.41</v>
      </c>
      <c r="AJ652" s="130">
        <v>0</v>
      </c>
    </row>
    <row r="653" spans="1:36" ht="63" x14ac:dyDescent="0.25">
      <c r="A653" s="6">
        <v>650</v>
      </c>
      <c r="B653" s="31">
        <v>122483</v>
      </c>
      <c r="C653" s="11">
        <v>40</v>
      </c>
      <c r="D653" s="10" t="s">
        <v>140</v>
      </c>
      <c r="E653" s="10" t="s">
        <v>24</v>
      </c>
      <c r="F653" s="11" t="s">
        <v>32</v>
      </c>
      <c r="G653" s="27" t="s">
        <v>1717</v>
      </c>
      <c r="H653" s="8" t="s">
        <v>151</v>
      </c>
      <c r="I653" s="46" t="s">
        <v>33</v>
      </c>
      <c r="J653" s="25">
        <v>42488</v>
      </c>
      <c r="K653" s="25">
        <v>45288</v>
      </c>
      <c r="L653" s="26">
        <f t="shared" si="247"/>
        <v>84.695097592232997</v>
      </c>
      <c r="M653" s="11" t="s">
        <v>136</v>
      </c>
      <c r="N653" s="11" t="s">
        <v>261</v>
      </c>
      <c r="O653" s="11" t="s">
        <v>261</v>
      </c>
      <c r="P653" s="27" t="s">
        <v>138</v>
      </c>
      <c r="Q653" s="11" t="s">
        <v>31</v>
      </c>
      <c r="R653" s="2">
        <f t="shared" si="254"/>
        <v>87235950.519999996</v>
      </c>
      <c r="S653" s="2">
        <v>82211158.810000002</v>
      </c>
      <c r="T653" s="2">
        <v>5024791.71</v>
      </c>
      <c r="U653" s="2">
        <f t="shared" si="258"/>
        <v>0</v>
      </c>
      <c r="V653" s="28">
        <v>0</v>
      </c>
      <c r="W653" s="28">
        <v>0</v>
      </c>
      <c r="X653" s="2">
        <f t="shared" si="255"/>
        <v>15764049.48</v>
      </c>
      <c r="Y653" s="2">
        <v>14507851.550000001</v>
      </c>
      <c r="Z653" s="2">
        <v>1256197.93</v>
      </c>
      <c r="AA653" s="2">
        <f t="shared" si="256"/>
        <v>0</v>
      </c>
      <c r="AB653" s="2">
        <v>0</v>
      </c>
      <c r="AC653" s="2">
        <v>0</v>
      </c>
      <c r="AD653" s="16">
        <f t="shared" si="259"/>
        <v>103000000</v>
      </c>
      <c r="AE653" s="2">
        <v>1936000</v>
      </c>
      <c r="AF653" s="2">
        <f t="shared" si="257"/>
        <v>104936000</v>
      </c>
      <c r="AG653" s="38" t="s">
        <v>486</v>
      </c>
      <c r="AH653" s="29" t="s">
        <v>1425</v>
      </c>
      <c r="AI653" s="30">
        <f>46170373.64+3216133.72+3120157.23+998090.22+1977329.86+2905223.94+2884858.16+3859504.78+959786.87+964395.13+955798.57+958617.23+952649.61+1945157.59+3926429.15</f>
        <v>75794505.700000003</v>
      </c>
      <c r="AJ653" s="130">
        <v>0</v>
      </c>
    </row>
    <row r="654" spans="1:36" ht="409.5" x14ac:dyDescent="0.25">
      <c r="A654" s="6">
        <v>651</v>
      </c>
      <c r="B654" s="31">
        <v>109937</v>
      </c>
      <c r="C654" s="11">
        <v>162</v>
      </c>
      <c r="D654" s="11" t="s">
        <v>143</v>
      </c>
      <c r="E654" s="24" t="s">
        <v>270</v>
      </c>
      <c r="F654" s="11" t="s">
        <v>436</v>
      </c>
      <c r="G654" s="11" t="s">
        <v>271</v>
      </c>
      <c r="H654" s="8" t="s">
        <v>151</v>
      </c>
      <c r="I654" s="45" t="s">
        <v>437</v>
      </c>
      <c r="J654" s="25">
        <v>43173</v>
      </c>
      <c r="K654" s="25">
        <v>43660</v>
      </c>
      <c r="L654" s="26">
        <f t="shared" si="247"/>
        <v>82.304184778160604</v>
      </c>
      <c r="M654" s="11" t="s">
        <v>272</v>
      </c>
      <c r="N654" s="11" t="s">
        <v>261</v>
      </c>
      <c r="O654" s="11" t="s">
        <v>273</v>
      </c>
      <c r="P654" s="27" t="s">
        <v>274</v>
      </c>
      <c r="Q654" s="11" t="s">
        <v>34</v>
      </c>
      <c r="R654" s="2">
        <f t="shared" si="254"/>
        <v>762655.8600000001</v>
      </c>
      <c r="S654" s="2">
        <v>147617.44</v>
      </c>
      <c r="T654" s="2">
        <v>615038.42000000004</v>
      </c>
      <c r="U654" s="2">
        <f t="shared" si="258"/>
        <v>145442.25</v>
      </c>
      <c r="V654" s="28">
        <v>36906.06</v>
      </c>
      <c r="W654" s="28">
        <v>108536.19</v>
      </c>
      <c r="X654" s="2">
        <f t="shared" si="255"/>
        <v>0</v>
      </c>
      <c r="Y654" s="2">
        <v>0</v>
      </c>
      <c r="Z654" s="2">
        <v>0</v>
      </c>
      <c r="AA654" s="2">
        <f t="shared" si="256"/>
        <v>18532.61</v>
      </c>
      <c r="AB654" s="2">
        <v>3765.78</v>
      </c>
      <c r="AC654" s="2">
        <v>14766.83</v>
      </c>
      <c r="AD654" s="16">
        <f t="shared" si="259"/>
        <v>926630.72000000009</v>
      </c>
      <c r="AE654" s="2">
        <v>0</v>
      </c>
      <c r="AF654" s="2">
        <f t="shared" si="257"/>
        <v>926630.72000000009</v>
      </c>
      <c r="AG654" s="21" t="s">
        <v>857</v>
      </c>
      <c r="AH654" s="29"/>
      <c r="AI654" s="30">
        <f>340951.1+52774.1+61862.22+16616.16+1069.94+8813.14+48351.34+107449.24-8088.73+50503.68+13263.31-13913.75</f>
        <v>679651.75</v>
      </c>
      <c r="AJ654" s="30">
        <f>47349.74+21861.72+3168.79+9424.88+1680.7+20491.06+8088.73+2529.39+15017.84</f>
        <v>129612.84999999998</v>
      </c>
    </row>
    <row r="655" spans="1:36" ht="189" x14ac:dyDescent="0.25">
      <c r="A655" s="6">
        <v>652</v>
      </c>
      <c r="B655" s="31">
        <v>112093</v>
      </c>
      <c r="C655" s="11">
        <v>344</v>
      </c>
      <c r="D655" s="11" t="s">
        <v>143</v>
      </c>
      <c r="E655" s="24" t="s">
        <v>270</v>
      </c>
      <c r="F655" s="11" t="s">
        <v>303</v>
      </c>
      <c r="G655" s="11" t="s">
        <v>1885</v>
      </c>
      <c r="H655" s="8" t="s">
        <v>151</v>
      </c>
      <c r="I655" s="12" t="s">
        <v>438</v>
      </c>
      <c r="J655" s="25">
        <v>43188</v>
      </c>
      <c r="K655" s="25">
        <v>43553</v>
      </c>
      <c r="L655" s="26">
        <f t="shared" si="247"/>
        <v>82.304184346141142</v>
      </c>
      <c r="M655" s="11" t="s">
        <v>272</v>
      </c>
      <c r="N655" s="11" t="s">
        <v>304</v>
      </c>
      <c r="O655" s="11" t="s">
        <v>304</v>
      </c>
      <c r="P655" s="27" t="s">
        <v>274</v>
      </c>
      <c r="Q655" s="11" t="s">
        <v>34</v>
      </c>
      <c r="R655" s="2">
        <f t="shared" si="254"/>
        <v>624137.28</v>
      </c>
      <c r="S655" s="2">
        <v>503312.34</v>
      </c>
      <c r="T655" s="2">
        <v>120824.94</v>
      </c>
      <c r="U655" s="2">
        <f t="shared" si="258"/>
        <v>119026.06000000001</v>
      </c>
      <c r="V655" s="28">
        <v>88819.82</v>
      </c>
      <c r="W655" s="28">
        <v>30206.240000000002</v>
      </c>
      <c r="X655" s="2">
        <f t="shared" si="255"/>
        <v>0</v>
      </c>
      <c r="Y655" s="2">
        <v>0</v>
      </c>
      <c r="Z655" s="2">
        <v>0</v>
      </c>
      <c r="AA655" s="2">
        <f t="shared" si="256"/>
        <v>15166.61</v>
      </c>
      <c r="AB655" s="2">
        <v>12084.34</v>
      </c>
      <c r="AC655" s="2">
        <v>3082.27</v>
      </c>
      <c r="AD655" s="16">
        <f t="shared" si="259"/>
        <v>758329.95000000007</v>
      </c>
      <c r="AE655" s="2">
        <v>0</v>
      </c>
      <c r="AF655" s="2">
        <f t="shared" si="257"/>
        <v>758329.95000000007</v>
      </c>
      <c r="AG655" s="21" t="s">
        <v>857</v>
      </c>
      <c r="AH655" s="29" t="s">
        <v>297</v>
      </c>
      <c r="AI655" s="30">
        <f>281863.03+67706.32-7048.99+70335.64+92451.16+65330.18-30787.09</f>
        <v>539850.25000000012</v>
      </c>
      <c r="AJ655" s="30">
        <f>53450.47+7048.99+3931.35+17630.9+12458.8+8431.63</f>
        <v>102952.14</v>
      </c>
    </row>
    <row r="656" spans="1:36" ht="252" x14ac:dyDescent="0.25">
      <c r="A656" s="6">
        <v>653</v>
      </c>
      <c r="B656" s="31">
        <v>110829</v>
      </c>
      <c r="C656" s="11">
        <v>345</v>
      </c>
      <c r="D656" s="11" t="s">
        <v>143</v>
      </c>
      <c r="E656" s="24" t="s">
        <v>270</v>
      </c>
      <c r="F656" s="11" t="s">
        <v>305</v>
      </c>
      <c r="G656" s="11" t="s">
        <v>306</v>
      </c>
      <c r="H656" s="8" t="s">
        <v>151</v>
      </c>
      <c r="I656" s="12" t="s">
        <v>307</v>
      </c>
      <c r="J656" s="25">
        <v>43188</v>
      </c>
      <c r="K656" s="25">
        <v>43737</v>
      </c>
      <c r="L656" s="26">
        <f t="shared" si="247"/>
        <v>82.304186026137842</v>
      </c>
      <c r="M656" s="11" t="s">
        <v>272</v>
      </c>
      <c r="N656" s="11" t="s">
        <v>304</v>
      </c>
      <c r="O656" s="11" t="s">
        <v>304</v>
      </c>
      <c r="P656" s="27" t="s">
        <v>274</v>
      </c>
      <c r="Q656" s="11" t="s">
        <v>34</v>
      </c>
      <c r="R656" s="2">
        <f t="shared" si="254"/>
        <v>757586.23</v>
      </c>
      <c r="S656" s="2">
        <v>610927.28</v>
      </c>
      <c r="T656" s="2">
        <v>146658.95000000001</v>
      </c>
      <c r="U656" s="2">
        <f t="shared" si="258"/>
        <v>144475.43</v>
      </c>
      <c r="V656" s="28">
        <v>107810.7</v>
      </c>
      <c r="W656" s="28">
        <v>36664.730000000003</v>
      </c>
      <c r="X656" s="2">
        <f t="shared" si="255"/>
        <v>0</v>
      </c>
      <c r="Y656" s="2">
        <v>0</v>
      </c>
      <c r="Z656" s="2">
        <v>0</v>
      </c>
      <c r="AA656" s="2">
        <f t="shared" si="256"/>
        <v>18409.420000000002</v>
      </c>
      <c r="AB656" s="2">
        <v>14668.12</v>
      </c>
      <c r="AC656" s="2">
        <v>3741.3</v>
      </c>
      <c r="AD656" s="16">
        <f t="shared" si="259"/>
        <v>920471.08</v>
      </c>
      <c r="AE656" s="2">
        <v>0</v>
      </c>
      <c r="AF656" s="2">
        <f t="shared" si="257"/>
        <v>920471.08</v>
      </c>
      <c r="AG656" s="21" t="s">
        <v>857</v>
      </c>
      <c r="AH656" s="29" t="s">
        <v>297</v>
      </c>
      <c r="AI656" s="30">
        <f>89285.71-11964.69+140134-555.33+108178.82+21252.58+36085.35+107586.93+34575.24+28193.27+63018.42+70571.37</f>
        <v>686361.67</v>
      </c>
      <c r="AJ656" s="30">
        <f>11964.69+11960.22+17298.63+11541.66+4052.98+14039.69+5043.38+6593.66+21646.1+12017.89+14733.7</f>
        <v>130892.6</v>
      </c>
    </row>
    <row r="657" spans="1:36" ht="173.25" x14ac:dyDescent="0.25">
      <c r="A657" s="6">
        <v>654</v>
      </c>
      <c r="B657" s="31">
        <v>111077</v>
      </c>
      <c r="C657" s="11">
        <v>352</v>
      </c>
      <c r="D657" s="11" t="s">
        <v>143</v>
      </c>
      <c r="E657" s="24" t="s">
        <v>270</v>
      </c>
      <c r="F657" s="11" t="s">
        <v>308</v>
      </c>
      <c r="G657" s="11" t="s">
        <v>309</v>
      </c>
      <c r="H657" s="8" t="s">
        <v>151</v>
      </c>
      <c r="I657" s="12" t="s">
        <v>310</v>
      </c>
      <c r="J657" s="25">
        <v>43188</v>
      </c>
      <c r="K657" s="25">
        <v>43675</v>
      </c>
      <c r="L657" s="26">
        <f t="shared" si="247"/>
        <v>82.304186243592014</v>
      </c>
      <c r="M657" s="11" t="s">
        <v>272</v>
      </c>
      <c r="N657" s="11" t="s">
        <v>304</v>
      </c>
      <c r="O657" s="11" t="s">
        <v>304</v>
      </c>
      <c r="P657" s="27" t="s">
        <v>274</v>
      </c>
      <c r="Q657" s="11" t="s">
        <v>34</v>
      </c>
      <c r="R657" s="2">
        <f t="shared" si="254"/>
        <v>704316.51</v>
      </c>
      <c r="S657" s="2">
        <v>567969.9</v>
      </c>
      <c r="T657" s="2">
        <v>136346.60999999999</v>
      </c>
      <c r="U657" s="2">
        <f t="shared" si="258"/>
        <v>134316.63</v>
      </c>
      <c r="V657" s="28">
        <v>100229.98</v>
      </c>
      <c r="W657" s="28">
        <v>34086.65</v>
      </c>
      <c r="X657" s="2">
        <f t="shared" si="255"/>
        <v>0</v>
      </c>
      <c r="Y657" s="2">
        <v>0</v>
      </c>
      <c r="Z657" s="2">
        <v>0</v>
      </c>
      <c r="AA657" s="2">
        <f t="shared" si="256"/>
        <v>17114.96</v>
      </c>
      <c r="AB657" s="2">
        <v>13636.73</v>
      </c>
      <c r="AC657" s="2">
        <v>3478.23</v>
      </c>
      <c r="AD657" s="16">
        <f t="shared" si="259"/>
        <v>855748.1</v>
      </c>
      <c r="AE657" s="2"/>
      <c r="AF657" s="2">
        <f t="shared" si="257"/>
        <v>855748.1</v>
      </c>
      <c r="AG657" s="21" t="s">
        <v>857</v>
      </c>
      <c r="AH657" s="29" t="s">
        <v>297</v>
      </c>
      <c r="AI657" s="30">
        <f>85000+43282.16-11040.21+106472.55+153782.22-13315.84+83140.14+113279.69+50909.88+28913.1</f>
        <v>640423.68999999994</v>
      </c>
      <c r="AJ657" s="30">
        <f>8254.12+14104.5+20304.84+13117.11+13315.84+21603+25918.68+5513.87</f>
        <v>122131.95999999999</v>
      </c>
    </row>
    <row r="658" spans="1:36" ht="204.75" x14ac:dyDescent="0.25">
      <c r="A658" s="6">
        <v>655</v>
      </c>
      <c r="B658" s="31">
        <v>111631</v>
      </c>
      <c r="C658" s="11">
        <v>170</v>
      </c>
      <c r="D658" s="11" t="s">
        <v>143</v>
      </c>
      <c r="E658" s="24" t="s">
        <v>270</v>
      </c>
      <c r="F658" s="11" t="s">
        <v>311</v>
      </c>
      <c r="G658" s="11" t="s">
        <v>312</v>
      </c>
      <c r="H658" s="11" t="s">
        <v>313</v>
      </c>
      <c r="I658" s="12" t="s">
        <v>1203</v>
      </c>
      <c r="J658" s="25">
        <v>43189</v>
      </c>
      <c r="K658" s="25">
        <v>43676</v>
      </c>
      <c r="L658" s="26">
        <f t="shared" si="247"/>
        <v>82.304185177297953</v>
      </c>
      <c r="M658" s="11" t="s">
        <v>272</v>
      </c>
      <c r="N658" s="11" t="s">
        <v>304</v>
      </c>
      <c r="O658" s="11" t="s">
        <v>304</v>
      </c>
      <c r="P658" s="27" t="s">
        <v>274</v>
      </c>
      <c r="Q658" s="11" t="s">
        <v>34</v>
      </c>
      <c r="R658" s="2">
        <f t="shared" si="254"/>
        <v>822209.74</v>
      </c>
      <c r="S658" s="2">
        <v>663040.52</v>
      </c>
      <c r="T658" s="2">
        <v>159169.22</v>
      </c>
      <c r="U658" s="2">
        <f t="shared" si="258"/>
        <v>156799.45000000001</v>
      </c>
      <c r="V658" s="28">
        <v>117007.15</v>
      </c>
      <c r="W658" s="28">
        <v>39792.300000000003</v>
      </c>
      <c r="X658" s="2">
        <v>0</v>
      </c>
      <c r="Y658" s="2">
        <v>0</v>
      </c>
      <c r="Z658" s="2">
        <v>0</v>
      </c>
      <c r="AA658" s="2">
        <f t="shared" si="256"/>
        <v>19979.79</v>
      </c>
      <c r="AB658" s="2">
        <v>15919.35</v>
      </c>
      <c r="AC658" s="2">
        <v>4060.44</v>
      </c>
      <c r="AD658" s="16">
        <f t="shared" si="259"/>
        <v>998988.98</v>
      </c>
      <c r="AE658" s="2"/>
      <c r="AF658" s="2">
        <f t="shared" si="257"/>
        <v>998988.98</v>
      </c>
      <c r="AG658" s="21" t="s">
        <v>857</v>
      </c>
      <c r="AH658" s="29" t="s">
        <v>297</v>
      </c>
      <c r="AI658" s="30">
        <f>754429.65-15109.91</f>
        <v>739319.74</v>
      </c>
      <c r="AJ658" s="30">
        <f>3863.19+15778.83+29070.82+6799.58+5078.36+35041.94+6132.52+4911.69+2424.38+19247+12643.54</f>
        <v>140991.85</v>
      </c>
    </row>
    <row r="659" spans="1:36" ht="141.75" x14ac:dyDescent="0.25">
      <c r="A659" s="6">
        <v>656</v>
      </c>
      <c r="B659" s="31">
        <v>112405</v>
      </c>
      <c r="C659" s="11">
        <v>171</v>
      </c>
      <c r="D659" s="11" t="s">
        <v>143</v>
      </c>
      <c r="E659" s="24" t="s">
        <v>270</v>
      </c>
      <c r="F659" s="11" t="s">
        <v>314</v>
      </c>
      <c r="G659" s="11" t="s">
        <v>315</v>
      </c>
      <c r="H659" s="11" t="s">
        <v>316</v>
      </c>
      <c r="I659" s="12" t="s">
        <v>1355</v>
      </c>
      <c r="J659" s="25">
        <v>43186</v>
      </c>
      <c r="K659" s="25">
        <v>43673</v>
      </c>
      <c r="L659" s="26">
        <f t="shared" si="247"/>
        <v>82.304185365731513</v>
      </c>
      <c r="M659" s="11" t="s">
        <v>272</v>
      </c>
      <c r="N659" s="11" t="s">
        <v>304</v>
      </c>
      <c r="O659" s="11" t="s">
        <v>304</v>
      </c>
      <c r="P659" s="27" t="s">
        <v>274</v>
      </c>
      <c r="Q659" s="11" t="s">
        <v>34</v>
      </c>
      <c r="R659" s="2">
        <f t="shared" si="254"/>
        <v>723131.98</v>
      </c>
      <c r="S659" s="2">
        <v>583142.93999999994</v>
      </c>
      <c r="T659" s="2">
        <v>139989.04</v>
      </c>
      <c r="U659" s="2">
        <f t="shared" si="258"/>
        <v>137904.84</v>
      </c>
      <c r="V659" s="28">
        <v>102907.58</v>
      </c>
      <c r="W659" s="28">
        <v>34997.26</v>
      </c>
      <c r="X659" s="2">
        <f t="shared" si="255"/>
        <v>0</v>
      </c>
      <c r="Y659" s="2">
        <v>0</v>
      </c>
      <c r="Z659" s="2">
        <v>0</v>
      </c>
      <c r="AA659" s="2">
        <f t="shared" si="256"/>
        <v>17572.18</v>
      </c>
      <c r="AB659" s="2">
        <v>14001.03</v>
      </c>
      <c r="AC659" s="2">
        <v>3571.15</v>
      </c>
      <c r="AD659" s="16">
        <f t="shared" si="259"/>
        <v>878609</v>
      </c>
      <c r="AE659" s="2"/>
      <c r="AF659" s="2">
        <f t="shared" si="257"/>
        <v>878609</v>
      </c>
      <c r="AG659" s="21" t="s">
        <v>857</v>
      </c>
      <c r="AH659" s="29"/>
      <c r="AI659" s="30">
        <f>208329.69+72239-12893.42+110533+33743.88+27302.86+184981.92+10195.84+16264.07</f>
        <v>650696.84</v>
      </c>
      <c r="AJ659" s="30">
        <f>36750.34+12893.42+5726.93+6435.14+21177.89+19305.83+1944.4+19857.12</f>
        <v>124091.06999999999</v>
      </c>
    </row>
    <row r="660" spans="1:36" ht="141.75" x14ac:dyDescent="0.25">
      <c r="A660" s="6">
        <v>657</v>
      </c>
      <c r="B660" s="31">
        <v>109810</v>
      </c>
      <c r="C660" s="11">
        <v>257</v>
      </c>
      <c r="D660" s="11" t="s">
        <v>143</v>
      </c>
      <c r="E660" s="24" t="s">
        <v>270</v>
      </c>
      <c r="F660" s="11" t="s">
        <v>317</v>
      </c>
      <c r="G660" s="11" t="s">
        <v>318</v>
      </c>
      <c r="H660" s="8" t="s">
        <v>151</v>
      </c>
      <c r="I660" s="12" t="s">
        <v>325</v>
      </c>
      <c r="J660" s="25">
        <v>43192</v>
      </c>
      <c r="K660" s="25">
        <v>43679</v>
      </c>
      <c r="L660" s="26">
        <f t="shared" si="247"/>
        <v>82.304188283311021</v>
      </c>
      <c r="M660" s="11" t="s">
        <v>272</v>
      </c>
      <c r="N660" s="11" t="s">
        <v>304</v>
      </c>
      <c r="O660" s="11" t="s">
        <v>304</v>
      </c>
      <c r="P660" s="27" t="s">
        <v>274</v>
      </c>
      <c r="Q660" s="11" t="s">
        <v>34</v>
      </c>
      <c r="R660" s="2">
        <f t="shared" si="254"/>
        <v>821139.01</v>
      </c>
      <c r="S660" s="1">
        <v>662177.06999999995</v>
      </c>
      <c r="T660" s="1">
        <v>158961.94</v>
      </c>
      <c r="U660" s="2">
        <f t="shared" si="258"/>
        <v>156595.26</v>
      </c>
      <c r="V660" s="28">
        <v>116854.78</v>
      </c>
      <c r="W660" s="28">
        <v>39740.480000000003</v>
      </c>
      <c r="X660" s="2">
        <f t="shared" si="255"/>
        <v>0</v>
      </c>
      <c r="Y660" s="2">
        <v>0</v>
      </c>
      <c r="Z660" s="2">
        <v>0</v>
      </c>
      <c r="AA660" s="2">
        <f t="shared" si="256"/>
        <v>19953.73</v>
      </c>
      <c r="AB660" s="2">
        <v>15898.58</v>
      </c>
      <c r="AC660" s="2">
        <v>4055.15</v>
      </c>
      <c r="AD660" s="16">
        <f t="shared" si="259"/>
        <v>997688</v>
      </c>
      <c r="AE660" s="2"/>
      <c r="AF660" s="2">
        <f t="shared" si="257"/>
        <v>997688</v>
      </c>
      <c r="AG660" s="21" t="s">
        <v>857</v>
      </c>
      <c r="AH660" s="29"/>
      <c r="AI660" s="30">
        <v>768017.32</v>
      </c>
      <c r="AJ660" s="30">
        <v>146464.70000000001</v>
      </c>
    </row>
    <row r="661" spans="1:36" ht="141.75" x14ac:dyDescent="0.25">
      <c r="A661" s="6">
        <v>658</v>
      </c>
      <c r="B661" s="31">
        <v>112956</v>
      </c>
      <c r="C661" s="11">
        <v>273</v>
      </c>
      <c r="D661" s="11" t="s">
        <v>143</v>
      </c>
      <c r="E661" s="24" t="s">
        <v>270</v>
      </c>
      <c r="F661" s="11" t="s">
        <v>319</v>
      </c>
      <c r="G661" s="70" t="s">
        <v>320</v>
      </c>
      <c r="H661" s="11" t="s">
        <v>321</v>
      </c>
      <c r="I661" s="12" t="s">
        <v>439</v>
      </c>
      <c r="J661" s="25">
        <v>43192</v>
      </c>
      <c r="K661" s="25">
        <v>43679</v>
      </c>
      <c r="L661" s="26">
        <f t="shared" si="247"/>
        <v>82.304175027233867</v>
      </c>
      <c r="M661" s="11" t="s">
        <v>272</v>
      </c>
      <c r="N661" s="11" t="s">
        <v>304</v>
      </c>
      <c r="O661" s="11" t="s">
        <v>304</v>
      </c>
      <c r="P661" s="27" t="s">
        <v>274</v>
      </c>
      <c r="Q661" s="11" t="s">
        <v>34</v>
      </c>
      <c r="R661" s="2">
        <f t="shared" si="254"/>
        <v>710350.38</v>
      </c>
      <c r="S661" s="2">
        <v>572835.76</v>
      </c>
      <c r="T661" s="2">
        <v>137514.62</v>
      </c>
      <c r="U661" s="2">
        <f t="shared" si="258"/>
        <v>135467.44</v>
      </c>
      <c r="V661" s="28">
        <v>101088.74</v>
      </c>
      <c r="W661" s="28">
        <v>34378.699999999997</v>
      </c>
      <c r="X661" s="2">
        <f t="shared" si="255"/>
        <v>0</v>
      </c>
      <c r="Y661" s="2">
        <v>0</v>
      </c>
      <c r="Z661" s="2">
        <v>0</v>
      </c>
      <c r="AA661" s="2">
        <f t="shared" si="256"/>
        <v>17261.579999999998</v>
      </c>
      <c r="AB661" s="2">
        <v>13753.55</v>
      </c>
      <c r="AC661" s="2">
        <v>3508.03</v>
      </c>
      <c r="AD661" s="16">
        <f t="shared" si="259"/>
        <v>863079.4</v>
      </c>
      <c r="AE661" s="2"/>
      <c r="AF661" s="2">
        <f t="shared" si="257"/>
        <v>863079.4</v>
      </c>
      <c r="AG661" s="21" t="s">
        <v>857</v>
      </c>
      <c r="AH661" s="29" t="s">
        <v>151</v>
      </c>
      <c r="AI661" s="30">
        <f>629253.72-17069.05</f>
        <v>612184.66999999993</v>
      </c>
      <c r="AJ661" s="30">
        <f>109991.49+6755.11</f>
        <v>116746.6</v>
      </c>
    </row>
    <row r="662" spans="1:36" ht="173.25" x14ac:dyDescent="0.25">
      <c r="A662" s="6">
        <v>659</v>
      </c>
      <c r="B662" s="31">
        <v>112066</v>
      </c>
      <c r="C662" s="11">
        <v>262</v>
      </c>
      <c r="D662" s="11" t="s">
        <v>143</v>
      </c>
      <c r="E662" s="24" t="s">
        <v>270</v>
      </c>
      <c r="F662" s="11" t="s">
        <v>322</v>
      </c>
      <c r="G662" s="11" t="s">
        <v>323</v>
      </c>
      <c r="H662" s="11" t="s">
        <v>324</v>
      </c>
      <c r="I662" s="12" t="s">
        <v>440</v>
      </c>
      <c r="J662" s="25">
        <v>43193</v>
      </c>
      <c r="K662" s="25">
        <v>43680</v>
      </c>
      <c r="L662" s="26">
        <f t="shared" si="247"/>
        <v>82.304184459884823</v>
      </c>
      <c r="M662" s="11" t="s">
        <v>272</v>
      </c>
      <c r="N662" s="11" t="s">
        <v>304</v>
      </c>
      <c r="O662" s="11" t="s">
        <v>304</v>
      </c>
      <c r="P662" s="27" t="s">
        <v>274</v>
      </c>
      <c r="Q662" s="11" t="s">
        <v>34</v>
      </c>
      <c r="R662" s="2">
        <f t="shared" si="254"/>
        <v>822673.27</v>
      </c>
      <c r="S662" s="2">
        <v>663414.31999999995</v>
      </c>
      <c r="T662" s="2">
        <v>159258.95000000001</v>
      </c>
      <c r="U662" s="2">
        <f t="shared" si="258"/>
        <v>156887.87</v>
      </c>
      <c r="V662" s="28">
        <v>117073.13</v>
      </c>
      <c r="W662" s="28">
        <v>39814.74</v>
      </c>
      <c r="X662" s="2">
        <f t="shared" si="255"/>
        <v>0</v>
      </c>
      <c r="Y662" s="2">
        <v>0</v>
      </c>
      <c r="Z662" s="2">
        <v>0</v>
      </c>
      <c r="AA662" s="2">
        <f t="shared" si="256"/>
        <v>19991.04</v>
      </c>
      <c r="AB662" s="2">
        <v>15928.31</v>
      </c>
      <c r="AC662" s="2">
        <v>4062.73</v>
      </c>
      <c r="AD662" s="16">
        <f t="shared" si="259"/>
        <v>999552.18</v>
      </c>
      <c r="AE662" s="2"/>
      <c r="AF662" s="2">
        <f t="shared" si="257"/>
        <v>999552.18</v>
      </c>
      <c r="AG662" s="21" t="s">
        <v>857</v>
      </c>
      <c r="AH662" s="29" t="s">
        <v>151</v>
      </c>
      <c r="AI662" s="30">
        <v>639101.23</v>
      </c>
      <c r="AJ662" s="30">
        <v>121879.75</v>
      </c>
    </row>
    <row r="663" spans="1:36" ht="220.5" x14ac:dyDescent="0.25">
      <c r="A663" s="6">
        <v>660</v>
      </c>
      <c r="B663" s="31">
        <v>121460</v>
      </c>
      <c r="C663" s="11">
        <v>59</v>
      </c>
      <c r="D663" s="11" t="s">
        <v>143</v>
      </c>
      <c r="E663" s="24" t="s">
        <v>110</v>
      </c>
      <c r="F663" s="27" t="s">
        <v>339</v>
      </c>
      <c r="G663" s="27" t="s">
        <v>1717</v>
      </c>
      <c r="H663" s="8" t="s">
        <v>151</v>
      </c>
      <c r="I663" s="12" t="s">
        <v>340</v>
      </c>
      <c r="J663" s="25">
        <v>43207</v>
      </c>
      <c r="K663" s="25">
        <v>44668</v>
      </c>
      <c r="L663" s="26">
        <f t="shared" si="247"/>
        <v>83.983863902506371</v>
      </c>
      <c r="M663" s="11" t="s">
        <v>272</v>
      </c>
      <c r="N663" s="11" t="s">
        <v>304</v>
      </c>
      <c r="O663" s="11" t="s">
        <v>304</v>
      </c>
      <c r="P663" s="27" t="s">
        <v>138</v>
      </c>
      <c r="Q663" s="11" t="s">
        <v>34</v>
      </c>
      <c r="R663" s="2">
        <f t="shared" si="254"/>
        <v>5246578.1000000006</v>
      </c>
      <c r="S663" s="2">
        <v>4230908.1500000004</v>
      </c>
      <c r="T663" s="2">
        <v>1015669.95</v>
      </c>
      <c r="U663" s="2">
        <f t="shared" si="258"/>
        <v>0</v>
      </c>
      <c r="V663" s="28">
        <v>0</v>
      </c>
      <c r="W663" s="28">
        <v>0</v>
      </c>
      <c r="X663" s="2">
        <f t="shared" si="255"/>
        <v>1000548.26</v>
      </c>
      <c r="Y663" s="1">
        <v>746630.76</v>
      </c>
      <c r="Z663" s="2">
        <v>253917.5</v>
      </c>
      <c r="AA663" s="2">
        <f t="shared" si="256"/>
        <v>0</v>
      </c>
      <c r="AB663" s="2">
        <v>0</v>
      </c>
      <c r="AC663" s="2">
        <v>0</v>
      </c>
      <c r="AD663" s="16">
        <f t="shared" si="259"/>
        <v>6247126.3600000003</v>
      </c>
      <c r="AE663" s="2">
        <v>0</v>
      </c>
      <c r="AF663" s="2">
        <f t="shared" si="257"/>
        <v>6247126.3600000003</v>
      </c>
      <c r="AG663" s="38" t="s">
        <v>857</v>
      </c>
      <c r="AH663" s="29" t="s">
        <v>1777</v>
      </c>
      <c r="AI663" s="30">
        <f>897869.37+243536.81+342862.59+163687.91+133787.93+199729.63+414691.86+1295679.16+735599.8</f>
        <v>4427445.0599999996</v>
      </c>
      <c r="AJ663" s="30">
        <v>0</v>
      </c>
    </row>
    <row r="664" spans="1:36" ht="173.25" x14ac:dyDescent="0.25">
      <c r="A664" s="6">
        <v>661</v>
      </c>
      <c r="B664" s="31">
        <v>109749</v>
      </c>
      <c r="C664" s="11">
        <v>253</v>
      </c>
      <c r="D664" s="11" t="s">
        <v>143</v>
      </c>
      <c r="E664" s="24" t="s">
        <v>270</v>
      </c>
      <c r="F664" s="27" t="s">
        <v>328</v>
      </c>
      <c r="G664" s="141" t="s">
        <v>329</v>
      </c>
      <c r="H664" s="8" t="s">
        <v>151</v>
      </c>
      <c r="I664" s="12" t="s">
        <v>441</v>
      </c>
      <c r="J664" s="25">
        <v>43208</v>
      </c>
      <c r="K664" s="25">
        <v>43695</v>
      </c>
      <c r="L664" s="26">
        <f t="shared" si="247"/>
        <v>82.304185790916577</v>
      </c>
      <c r="M664" s="11" t="s">
        <v>272</v>
      </c>
      <c r="N664" s="11" t="s">
        <v>361</v>
      </c>
      <c r="O664" s="11" t="s">
        <v>361</v>
      </c>
      <c r="P664" s="27" t="s">
        <v>274</v>
      </c>
      <c r="Q664" s="11" t="s">
        <v>34</v>
      </c>
      <c r="R664" s="2">
        <f t="shared" si="254"/>
        <v>808649.72</v>
      </c>
      <c r="S664" s="1">
        <v>652105.54</v>
      </c>
      <c r="T664" s="1">
        <v>156544.18</v>
      </c>
      <c r="U664" s="2">
        <f t="shared" si="258"/>
        <v>154213.49</v>
      </c>
      <c r="V664" s="28">
        <v>115077.45</v>
      </c>
      <c r="W664" s="28">
        <v>39136.04</v>
      </c>
      <c r="X664" s="2">
        <f t="shared" si="255"/>
        <v>0</v>
      </c>
      <c r="Y664" s="2">
        <v>0</v>
      </c>
      <c r="Z664" s="2">
        <v>0</v>
      </c>
      <c r="AA664" s="2">
        <f t="shared" si="256"/>
        <v>19650.27</v>
      </c>
      <c r="AB664" s="2">
        <v>15656.8</v>
      </c>
      <c r="AC664" s="2">
        <v>3993.47</v>
      </c>
      <c r="AD664" s="16">
        <f t="shared" si="259"/>
        <v>982513.48</v>
      </c>
      <c r="AE664" s="2"/>
      <c r="AF664" s="2">
        <f t="shared" si="257"/>
        <v>982513.48</v>
      </c>
      <c r="AG664" s="21" t="s">
        <v>857</v>
      </c>
      <c r="AH664" s="29"/>
      <c r="AI664" s="30">
        <f>320855.76+13409.42+153292.16+833.72+98250+85029.68+131034.25-5408.6</f>
        <v>797296.39</v>
      </c>
      <c r="AJ664" s="30">
        <f>63706.03+10496.81+18895.75+16215.58+24988.88+17705.3</f>
        <v>152008.34999999998</v>
      </c>
    </row>
    <row r="665" spans="1:36" ht="204.75" x14ac:dyDescent="0.25">
      <c r="A665" s="6">
        <v>662</v>
      </c>
      <c r="B665" s="31">
        <v>109967</v>
      </c>
      <c r="C665" s="11">
        <v>177</v>
      </c>
      <c r="D665" s="11" t="s">
        <v>143</v>
      </c>
      <c r="E665" s="24" t="s">
        <v>270</v>
      </c>
      <c r="F665" s="27" t="s">
        <v>334</v>
      </c>
      <c r="G665" s="11" t="s">
        <v>335</v>
      </c>
      <c r="H665" s="8" t="s">
        <v>151</v>
      </c>
      <c r="I665" s="12" t="s">
        <v>442</v>
      </c>
      <c r="J665" s="25">
        <v>43208</v>
      </c>
      <c r="K665" s="25">
        <v>43695</v>
      </c>
      <c r="L665" s="26">
        <f t="shared" si="247"/>
        <v>82.304184597190911</v>
      </c>
      <c r="M665" s="11" t="s">
        <v>272</v>
      </c>
      <c r="N665" s="11" t="s">
        <v>304</v>
      </c>
      <c r="O665" s="11" t="s">
        <v>304</v>
      </c>
      <c r="P665" s="27" t="s">
        <v>274</v>
      </c>
      <c r="Q665" s="11" t="s">
        <v>34</v>
      </c>
      <c r="R665" s="2">
        <f t="shared" si="254"/>
        <v>804452.45</v>
      </c>
      <c r="S665" s="2">
        <v>648720.82999999996</v>
      </c>
      <c r="T665" s="2">
        <v>155731.62</v>
      </c>
      <c r="U665" s="2">
        <f t="shared" si="258"/>
        <v>153413.06</v>
      </c>
      <c r="V665" s="28">
        <v>114480.15</v>
      </c>
      <c r="W665" s="28">
        <v>38932.910000000003</v>
      </c>
      <c r="X665" s="2">
        <f t="shared" si="255"/>
        <v>0</v>
      </c>
      <c r="Y665" s="142">
        <v>0</v>
      </c>
      <c r="Z665" s="142">
        <v>0</v>
      </c>
      <c r="AA665" s="2">
        <f t="shared" si="256"/>
        <v>19548.28</v>
      </c>
      <c r="AB665" s="2">
        <v>15575.51</v>
      </c>
      <c r="AC665" s="2">
        <v>3972.77</v>
      </c>
      <c r="AD665" s="16">
        <f t="shared" si="259"/>
        <v>977413.79</v>
      </c>
      <c r="AE665" s="2"/>
      <c r="AF665" s="2">
        <f t="shared" si="257"/>
        <v>977413.79</v>
      </c>
      <c r="AG665" s="21" t="s">
        <v>857</v>
      </c>
      <c r="AH665" s="29" t="s">
        <v>1050</v>
      </c>
      <c r="AI665" s="30">
        <f>312590.47-8868.28+88856.3+55475.75+73233.76+50351.94+43692.49-8964.67+55972.79-7971.42+22143.49</f>
        <v>676512.61999999988</v>
      </c>
      <c r="AJ665" s="30">
        <f>40972.78+16948.54+8885.07+13966.04+9602.34+8332.37+8964.67+7971.42+13371.02</f>
        <v>129014.24999999999</v>
      </c>
    </row>
    <row r="666" spans="1:36" ht="157.5" x14ac:dyDescent="0.25">
      <c r="A666" s="6">
        <v>663</v>
      </c>
      <c r="B666" s="31">
        <v>112811</v>
      </c>
      <c r="C666" s="11">
        <v>196</v>
      </c>
      <c r="D666" s="11" t="s">
        <v>143</v>
      </c>
      <c r="E666" s="24" t="s">
        <v>270</v>
      </c>
      <c r="F666" s="27" t="s">
        <v>336</v>
      </c>
      <c r="G666" s="11" t="s">
        <v>337</v>
      </c>
      <c r="H666" s="8" t="s">
        <v>151</v>
      </c>
      <c r="I666" s="12" t="s">
        <v>338</v>
      </c>
      <c r="J666" s="25">
        <v>43208</v>
      </c>
      <c r="K666" s="25">
        <v>43573</v>
      </c>
      <c r="L666" s="26">
        <f t="shared" si="247"/>
        <v>82.304184666338784</v>
      </c>
      <c r="M666" s="11" t="s">
        <v>272</v>
      </c>
      <c r="N666" s="11" t="s">
        <v>304</v>
      </c>
      <c r="O666" s="11" t="s">
        <v>304</v>
      </c>
      <c r="P666" s="27" t="s">
        <v>274</v>
      </c>
      <c r="Q666" s="11" t="s">
        <v>34</v>
      </c>
      <c r="R666" s="2">
        <f t="shared" si="254"/>
        <v>760931.29</v>
      </c>
      <c r="S666" s="2">
        <v>613624.79</v>
      </c>
      <c r="T666" s="2">
        <v>147306.5</v>
      </c>
      <c r="U666" s="2">
        <f t="shared" si="258"/>
        <v>145113.35999999999</v>
      </c>
      <c r="V666" s="28">
        <v>108286.73</v>
      </c>
      <c r="W666" s="28">
        <v>36826.629999999997</v>
      </c>
      <c r="X666" s="2">
        <f t="shared" si="255"/>
        <v>0</v>
      </c>
      <c r="Y666" s="2">
        <v>0</v>
      </c>
      <c r="Z666" s="2">
        <v>0</v>
      </c>
      <c r="AA666" s="2">
        <f t="shared" si="256"/>
        <v>18490.71</v>
      </c>
      <c r="AB666" s="2">
        <v>14732.89</v>
      </c>
      <c r="AC666" s="2">
        <v>3757.82</v>
      </c>
      <c r="AD666" s="16">
        <f t="shared" si="259"/>
        <v>924535.36</v>
      </c>
      <c r="AE666" s="2"/>
      <c r="AF666" s="2">
        <f t="shared" si="257"/>
        <v>924535.36</v>
      </c>
      <c r="AG666" s="21" t="s">
        <v>857</v>
      </c>
      <c r="AH666" s="29"/>
      <c r="AI666" s="30">
        <f>91800+75057.16+74073.77+121742.1-7175.16+205568.39+83432.56-15293.57</f>
        <v>629205.25000000012</v>
      </c>
      <c r="AJ666" s="30">
        <f>14189.24+14126.23+23216.82+16262.9+21571.65+15911+14714.69</f>
        <v>119992.53</v>
      </c>
    </row>
    <row r="667" spans="1:36" ht="299.25" x14ac:dyDescent="0.25">
      <c r="A667" s="6">
        <v>664</v>
      </c>
      <c r="B667" s="31">
        <v>112080</v>
      </c>
      <c r="C667" s="11">
        <v>354</v>
      </c>
      <c r="D667" s="11" t="s">
        <v>143</v>
      </c>
      <c r="E667" s="24" t="s">
        <v>270</v>
      </c>
      <c r="F667" s="27" t="s">
        <v>346</v>
      </c>
      <c r="G667" s="27" t="s">
        <v>345</v>
      </c>
      <c r="H667" s="8" t="s">
        <v>151</v>
      </c>
      <c r="I667" s="12" t="s">
        <v>443</v>
      </c>
      <c r="J667" s="25">
        <v>43214</v>
      </c>
      <c r="K667" s="25">
        <v>43793</v>
      </c>
      <c r="L667" s="26">
        <f t="shared" si="247"/>
        <v>82.304185109241828</v>
      </c>
      <c r="M667" s="11" t="s">
        <v>272</v>
      </c>
      <c r="N667" s="11" t="s">
        <v>304</v>
      </c>
      <c r="O667" s="11" t="s">
        <v>304</v>
      </c>
      <c r="P667" s="27" t="s">
        <v>274</v>
      </c>
      <c r="Q667" s="11" t="s">
        <v>34</v>
      </c>
      <c r="R667" s="2">
        <f t="shared" si="254"/>
        <v>570578.29</v>
      </c>
      <c r="S667" s="2">
        <v>460121.68</v>
      </c>
      <c r="T667" s="2">
        <v>110456.61</v>
      </c>
      <c r="U667" s="2">
        <f t="shared" si="258"/>
        <v>108812.1</v>
      </c>
      <c r="V667" s="28">
        <v>81197.94</v>
      </c>
      <c r="W667" s="28">
        <v>27614.16</v>
      </c>
      <c r="X667" s="2">
        <f t="shared" si="255"/>
        <v>0</v>
      </c>
      <c r="Y667" s="2">
        <v>0</v>
      </c>
      <c r="Z667" s="2">
        <v>0</v>
      </c>
      <c r="AA667" s="2">
        <f t="shared" si="256"/>
        <v>13865.11</v>
      </c>
      <c r="AB667" s="2">
        <v>11047.34</v>
      </c>
      <c r="AC667" s="2">
        <v>2817.77</v>
      </c>
      <c r="AD667" s="16">
        <f t="shared" si="259"/>
        <v>693255.5</v>
      </c>
      <c r="AE667" s="2">
        <v>0</v>
      </c>
      <c r="AF667" s="2">
        <f t="shared" si="257"/>
        <v>693255.5</v>
      </c>
      <c r="AG667" s="21" t="s">
        <v>857</v>
      </c>
      <c r="AH667" s="29" t="s">
        <v>1184</v>
      </c>
      <c r="AI667" s="30">
        <f>314971.26+69325.55+97282.65-5135.32</f>
        <v>476444.13999999996</v>
      </c>
      <c r="AJ667" s="30">
        <f>60066.57+25498.8+5294.87</f>
        <v>90860.239999999991</v>
      </c>
    </row>
    <row r="668" spans="1:36" ht="173.25" x14ac:dyDescent="0.25">
      <c r="A668" s="6">
        <v>665</v>
      </c>
      <c r="B668" s="31">
        <v>111113</v>
      </c>
      <c r="C668" s="11">
        <v>252</v>
      </c>
      <c r="D668" s="11" t="s">
        <v>143</v>
      </c>
      <c r="E668" s="24" t="s">
        <v>270</v>
      </c>
      <c r="F668" s="27" t="s">
        <v>347</v>
      </c>
      <c r="G668" s="27" t="s">
        <v>955</v>
      </c>
      <c r="H668" s="11" t="s">
        <v>366</v>
      </c>
      <c r="I668" s="12" t="s">
        <v>349</v>
      </c>
      <c r="J668" s="25">
        <v>43214</v>
      </c>
      <c r="K668" s="25">
        <v>43579</v>
      </c>
      <c r="L668" s="26">
        <f t="shared" si="247"/>
        <v>82.304185972255567</v>
      </c>
      <c r="M668" s="11" t="s">
        <v>272</v>
      </c>
      <c r="N668" s="11" t="s">
        <v>302</v>
      </c>
      <c r="O668" s="11" t="s">
        <v>348</v>
      </c>
      <c r="P668" s="27" t="s">
        <v>274</v>
      </c>
      <c r="Q668" s="11" t="s">
        <v>34</v>
      </c>
      <c r="R668" s="2">
        <f t="shared" si="254"/>
        <v>793396.18</v>
      </c>
      <c r="S668" s="2">
        <v>639804.9</v>
      </c>
      <c r="T668" s="2">
        <v>153591.28</v>
      </c>
      <c r="U668" s="2">
        <f t="shared" si="258"/>
        <v>151304.57</v>
      </c>
      <c r="V668" s="28">
        <v>112906.75</v>
      </c>
      <c r="W668" s="28">
        <v>38397.82</v>
      </c>
      <c r="X668" s="2">
        <f t="shared" si="255"/>
        <v>0</v>
      </c>
      <c r="Y668" s="2">
        <v>0</v>
      </c>
      <c r="Z668" s="2">
        <v>0</v>
      </c>
      <c r="AA668" s="2">
        <f t="shared" si="256"/>
        <v>19279.599999999999</v>
      </c>
      <c r="AB668" s="2">
        <v>15361.46</v>
      </c>
      <c r="AC668" s="2">
        <v>3918.14</v>
      </c>
      <c r="AD668" s="16">
        <f t="shared" si="259"/>
        <v>963980.35</v>
      </c>
      <c r="AE668" s="2">
        <v>0</v>
      </c>
      <c r="AF668" s="2">
        <f t="shared" si="257"/>
        <v>963980.35</v>
      </c>
      <c r="AG668" s="21" t="s">
        <v>857</v>
      </c>
      <c r="AH668" s="29" t="s">
        <v>151</v>
      </c>
      <c r="AI668" s="30">
        <f>360374.76+80428.02+85558.08+11319.22+96397+20389.47+84094.42</f>
        <v>738560.97</v>
      </c>
      <c r="AJ668" s="30">
        <f>36349.9+31943.22+13703.1+20542.02+22271.75+16037.23</f>
        <v>140847.22</v>
      </c>
    </row>
    <row r="669" spans="1:36" ht="315" x14ac:dyDescent="0.25">
      <c r="A669" s="6">
        <v>666</v>
      </c>
      <c r="B669" s="31">
        <v>109880</v>
      </c>
      <c r="C669" s="11">
        <v>261</v>
      </c>
      <c r="D669" s="11" t="s">
        <v>143</v>
      </c>
      <c r="E669" s="24" t="s">
        <v>270</v>
      </c>
      <c r="F669" s="27" t="s">
        <v>356</v>
      </c>
      <c r="G669" s="15" t="s">
        <v>354</v>
      </c>
      <c r="H669" s="27" t="s">
        <v>355</v>
      </c>
      <c r="I669" s="12" t="s">
        <v>444</v>
      </c>
      <c r="J669" s="25">
        <v>43214</v>
      </c>
      <c r="K669" s="25">
        <v>43640</v>
      </c>
      <c r="L669" s="26">
        <f t="shared" ref="L669:L731" si="260">R669/AD669*100</f>
        <v>82.304184374786118</v>
      </c>
      <c r="M669" s="11" t="s">
        <v>272</v>
      </c>
      <c r="N669" s="11" t="s">
        <v>219</v>
      </c>
      <c r="O669" s="11" t="s">
        <v>357</v>
      </c>
      <c r="P669" s="27" t="s">
        <v>274</v>
      </c>
      <c r="Q669" s="11" t="s">
        <v>34</v>
      </c>
      <c r="R669" s="2">
        <f t="shared" ref="R669:R700" si="261">S669+T669</f>
        <v>782828.76</v>
      </c>
      <c r="S669" s="2">
        <v>631283.18999999994</v>
      </c>
      <c r="T669" s="2">
        <v>151545.57</v>
      </c>
      <c r="U669" s="2">
        <f t="shared" si="258"/>
        <v>149289.32</v>
      </c>
      <c r="V669" s="28">
        <v>111402.93</v>
      </c>
      <c r="W669" s="28">
        <v>37886.39</v>
      </c>
      <c r="X669" s="2">
        <f t="shared" ref="X669:X699" si="262">Y669+Z669</f>
        <v>0</v>
      </c>
      <c r="Y669" s="2">
        <v>0</v>
      </c>
      <c r="Z669" s="2">
        <v>0</v>
      </c>
      <c r="AA669" s="2">
        <f t="shared" ref="AA669:AA700" si="263">AB669+AC669</f>
        <v>19022.82</v>
      </c>
      <c r="AB669" s="2">
        <v>15156.86</v>
      </c>
      <c r="AC669" s="2">
        <v>3865.96</v>
      </c>
      <c r="AD669" s="16">
        <f t="shared" si="259"/>
        <v>951140.9</v>
      </c>
      <c r="AE669" s="2"/>
      <c r="AF669" s="2">
        <f t="shared" ref="AF669:AF700" si="264">AD669+AE669</f>
        <v>951140.9</v>
      </c>
      <c r="AG669" s="21" t="s">
        <v>857</v>
      </c>
      <c r="AH669" s="29" t="s">
        <v>358</v>
      </c>
      <c r="AI669" s="30">
        <v>734392.74</v>
      </c>
      <c r="AJ669" s="30">
        <v>140052.42000000001</v>
      </c>
    </row>
    <row r="670" spans="1:36" ht="204.75" x14ac:dyDescent="0.25">
      <c r="A670" s="6">
        <v>667</v>
      </c>
      <c r="B670" s="31">
        <v>110309</v>
      </c>
      <c r="C670" s="11">
        <v>304</v>
      </c>
      <c r="D670" s="11" t="s">
        <v>143</v>
      </c>
      <c r="E670" s="24" t="s">
        <v>270</v>
      </c>
      <c r="F670" s="11" t="s">
        <v>380</v>
      </c>
      <c r="G670" s="11" t="s">
        <v>381</v>
      </c>
      <c r="H670" s="8" t="s">
        <v>151</v>
      </c>
      <c r="I670" s="12" t="s">
        <v>382</v>
      </c>
      <c r="J670" s="25">
        <v>43217</v>
      </c>
      <c r="K670" s="25">
        <v>43888</v>
      </c>
      <c r="L670" s="26">
        <f t="shared" si="260"/>
        <v>82.304189246721677</v>
      </c>
      <c r="M670" s="11" t="s">
        <v>272</v>
      </c>
      <c r="N670" s="11" t="s">
        <v>361</v>
      </c>
      <c r="O670" s="11" t="s">
        <v>361</v>
      </c>
      <c r="P670" s="27" t="s">
        <v>274</v>
      </c>
      <c r="Q670" s="11" t="s">
        <v>34</v>
      </c>
      <c r="R670" s="2">
        <f t="shared" si="261"/>
        <v>822248.62</v>
      </c>
      <c r="S670" s="2">
        <v>663071.87</v>
      </c>
      <c r="T670" s="2">
        <v>159176.75</v>
      </c>
      <c r="U670" s="2">
        <f t="shared" si="258"/>
        <v>156806.83000000002</v>
      </c>
      <c r="V670" s="28">
        <v>117012.66</v>
      </c>
      <c r="W670" s="28">
        <v>39794.17</v>
      </c>
      <c r="X670" s="2">
        <f t="shared" si="262"/>
        <v>0</v>
      </c>
      <c r="Y670" s="2">
        <v>0</v>
      </c>
      <c r="Z670" s="2">
        <v>0</v>
      </c>
      <c r="AA670" s="2">
        <f t="shared" si="263"/>
        <v>19980.72</v>
      </c>
      <c r="AB670" s="2">
        <v>15920.08</v>
      </c>
      <c r="AC670" s="2">
        <v>4060.64</v>
      </c>
      <c r="AD670" s="16">
        <f t="shared" si="259"/>
        <v>999036.16999999993</v>
      </c>
      <c r="AE670" s="2">
        <v>0</v>
      </c>
      <c r="AF670" s="2">
        <f t="shared" si="264"/>
        <v>999036.16999999993</v>
      </c>
      <c r="AG670" s="38" t="s">
        <v>1427</v>
      </c>
      <c r="AH670" s="29" t="s">
        <v>1403</v>
      </c>
      <c r="AI670" s="30">
        <v>553062.27999999991</v>
      </c>
      <c r="AJ670" s="30">
        <v>105471.71999999999</v>
      </c>
    </row>
    <row r="671" spans="1:36" ht="141.75" x14ac:dyDescent="0.25">
      <c r="A671" s="6">
        <v>668</v>
      </c>
      <c r="B671" s="31">
        <v>112122</v>
      </c>
      <c r="C671" s="11">
        <v>172</v>
      </c>
      <c r="D671" s="11" t="s">
        <v>143</v>
      </c>
      <c r="E671" s="24" t="s">
        <v>270</v>
      </c>
      <c r="F671" s="70" t="s">
        <v>359</v>
      </c>
      <c r="G671" s="11" t="s">
        <v>360</v>
      </c>
      <c r="H671" s="8" t="s">
        <v>151</v>
      </c>
      <c r="I671" s="12" t="s">
        <v>1208</v>
      </c>
      <c r="J671" s="25">
        <v>43217</v>
      </c>
      <c r="K671" s="25">
        <v>43796</v>
      </c>
      <c r="L671" s="26">
        <f t="shared" si="260"/>
        <v>82.30418763248349</v>
      </c>
      <c r="M671" s="11" t="s">
        <v>272</v>
      </c>
      <c r="N671" s="11" t="s">
        <v>219</v>
      </c>
      <c r="O671" s="11" t="s">
        <v>357</v>
      </c>
      <c r="P671" s="27" t="s">
        <v>274</v>
      </c>
      <c r="Q671" s="11" t="s">
        <v>34</v>
      </c>
      <c r="R671" s="2">
        <f t="shared" si="261"/>
        <v>773010.27999999991</v>
      </c>
      <c r="S671" s="2">
        <v>623365.43999999994</v>
      </c>
      <c r="T671" s="2">
        <v>149644.84</v>
      </c>
      <c r="U671" s="2">
        <f t="shared" si="258"/>
        <v>147416.85999999999</v>
      </c>
      <c r="V671" s="28">
        <v>110005.65</v>
      </c>
      <c r="W671" s="28">
        <v>37411.21</v>
      </c>
      <c r="X671" s="2">
        <f t="shared" si="262"/>
        <v>0</v>
      </c>
      <c r="Y671" s="2">
        <v>0</v>
      </c>
      <c r="Z671" s="2">
        <v>0</v>
      </c>
      <c r="AA671" s="2">
        <f t="shared" si="263"/>
        <v>18784.22</v>
      </c>
      <c r="AB671" s="2">
        <v>14966.74</v>
      </c>
      <c r="AC671" s="2">
        <v>3817.48</v>
      </c>
      <c r="AD671" s="16">
        <f t="shared" si="259"/>
        <v>939211.35999999987</v>
      </c>
      <c r="AE671" s="2">
        <v>0</v>
      </c>
      <c r="AF671" s="2">
        <f t="shared" si="264"/>
        <v>939211.35999999987</v>
      </c>
      <c r="AG671" s="21" t="s">
        <v>857</v>
      </c>
      <c r="AH671" s="29" t="s">
        <v>1201</v>
      </c>
      <c r="AI671" s="30">
        <v>733967.87</v>
      </c>
      <c r="AJ671" s="30">
        <v>138744.60999999999</v>
      </c>
    </row>
    <row r="672" spans="1:36" ht="252" x14ac:dyDescent="0.25">
      <c r="A672" s="6">
        <v>669</v>
      </c>
      <c r="B672" s="31">
        <v>111683</v>
      </c>
      <c r="C672" s="11">
        <v>339</v>
      </c>
      <c r="D672" s="11" t="s">
        <v>143</v>
      </c>
      <c r="E672" s="24" t="s">
        <v>270</v>
      </c>
      <c r="F672" s="11" t="s">
        <v>367</v>
      </c>
      <c r="G672" s="11" t="s">
        <v>368</v>
      </c>
      <c r="H672" s="8" t="s">
        <v>151</v>
      </c>
      <c r="I672" s="12" t="s">
        <v>445</v>
      </c>
      <c r="J672" s="25">
        <v>43227</v>
      </c>
      <c r="K672" s="25">
        <v>43868</v>
      </c>
      <c r="L672" s="26">
        <f t="shared" si="260"/>
        <v>82.304181640652189</v>
      </c>
      <c r="M672" s="11" t="s">
        <v>272</v>
      </c>
      <c r="N672" s="11" t="s">
        <v>261</v>
      </c>
      <c r="O672" s="11" t="s">
        <v>261</v>
      </c>
      <c r="P672" s="27" t="s">
        <v>274</v>
      </c>
      <c r="Q672" s="11" t="s">
        <v>34</v>
      </c>
      <c r="R672" s="2">
        <f t="shared" si="261"/>
        <v>791387.4800000001</v>
      </c>
      <c r="S672" s="2">
        <v>638185.06000000006</v>
      </c>
      <c r="T672" s="119">
        <v>153202.42000000001</v>
      </c>
      <c r="U672" s="2">
        <f t="shared" si="258"/>
        <v>150921.54999999999</v>
      </c>
      <c r="V672" s="143">
        <v>112620.91</v>
      </c>
      <c r="W672" s="28">
        <v>38300.639999999999</v>
      </c>
      <c r="X672" s="2">
        <f t="shared" si="262"/>
        <v>0</v>
      </c>
      <c r="Y672" s="2">
        <v>0</v>
      </c>
      <c r="Z672" s="2">
        <v>0</v>
      </c>
      <c r="AA672" s="2">
        <f t="shared" si="263"/>
        <v>19230.79</v>
      </c>
      <c r="AB672" s="2">
        <v>15322.58</v>
      </c>
      <c r="AC672" s="2">
        <v>3908.21</v>
      </c>
      <c r="AD672" s="16">
        <f t="shared" si="259"/>
        <v>961539.82000000007</v>
      </c>
      <c r="AE672" s="2"/>
      <c r="AF672" s="2">
        <f t="shared" si="264"/>
        <v>961539.82000000007</v>
      </c>
      <c r="AG672" s="38" t="s">
        <v>1427</v>
      </c>
      <c r="AH672" s="29" t="s">
        <v>1421</v>
      </c>
      <c r="AI672" s="30">
        <f>197162.71+172481.19+20945.29+96000+68397.19</f>
        <v>554986.38</v>
      </c>
      <c r="AJ672" s="30">
        <f>37599.88+14585.36+22302.07+31351.36</f>
        <v>105838.67</v>
      </c>
    </row>
    <row r="673" spans="1:36" ht="267.75" x14ac:dyDescent="0.25">
      <c r="A673" s="6">
        <v>670</v>
      </c>
      <c r="B673" s="31">
        <v>112332</v>
      </c>
      <c r="C673" s="11">
        <v>351</v>
      </c>
      <c r="D673" s="11" t="s">
        <v>143</v>
      </c>
      <c r="E673" s="24" t="s">
        <v>270</v>
      </c>
      <c r="F673" s="27" t="s">
        <v>1895</v>
      </c>
      <c r="G673" s="144" t="s">
        <v>369</v>
      </c>
      <c r="H673" s="70" t="s">
        <v>370</v>
      </c>
      <c r="I673" s="12" t="s">
        <v>371</v>
      </c>
      <c r="J673" s="25">
        <v>43227</v>
      </c>
      <c r="K673" s="25">
        <v>43715</v>
      </c>
      <c r="L673" s="26">
        <f t="shared" si="260"/>
        <v>82.803274340618188</v>
      </c>
      <c r="M673" s="11" t="s">
        <v>272</v>
      </c>
      <c r="N673" s="27" t="s">
        <v>537</v>
      </c>
      <c r="O673" s="27" t="s">
        <v>670</v>
      </c>
      <c r="P673" s="27" t="s">
        <v>274</v>
      </c>
      <c r="Q673" s="11" t="s">
        <v>34</v>
      </c>
      <c r="R673" s="2">
        <f t="shared" si="261"/>
        <v>789905.57000000007</v>
      </c>
      <c r="S673" s="2">
        <v>636990.03</v>
      </c>
      <c r="T673" s="2">
        <v>152915.54</v>
      </c>
      <c r="U673" s="2">
        <f t="shared" si="258"/>
        <v>144969.85</v>
      </c>
      <c r="V673" s="28">
        <v>107893.05</v>
      </c>
      <c r="W673" s="28">
        <v>37076.800000000003</v>
      </c>
      <c r="X673" s="2">
        <f t="shared" si="262"/>
        <v>0</v>
      </c>
      <c r="Y673" s="2">
        <v>0</v>
      </c>
      <c r="Z673" s="2">
        <v>0</v>
      </c>
      <c r="AA673" s="2">
        <f t="shared" si="263"/>
        <v>19079.09</v>
      </c>
      <c r="AB673" s="2">
        <v>15201.71</v>
      </c>
      <c r="AC673" s="2">
        <v>3877.38</v>
      </c>
      <c r="AD673" s="16">
        <f t="shared" si="259"/>
        <v>953954.51</v>
      </c>
      <c r="AE673" s="2">
        <v>0</v>
      </c>
      <c r="AF673" s="2">
        <f t="shared" si="264"/>
        <v>953954.51</v>
      </c>
      <c r="AG673" s="21" t="s">
        <v>857</v>
      </c>
      <c r="AH673" s="29" t="s">
        <v>151</v>
      </c>
      <c r="AI673" s="30">
        <f>103189.19-10344.17+64585.92+101525.85+67050.25+55900.12+82485.04+159943.99</f>
        <v>624336.18999999994</v>
      </c>
      <c r="AJ673" s="30">
        <f>6891.88+10344.17+32148.26+10660.44+28517.1+27035.36</f>
        <v>115597.21</v>
      </c>
    </row>
    <row r="674" spans="1:36" ht="204.75" x14ac:dyDescent="0.25">
      <c r="A674" s="6">
        <v>671</v>
      </c>
      <c r="B674" s="31">
        <v>115657</v>
      </c>
      <c r="C674" s="11">
        <v>390</v>
      </c>
      <c r="D674" s="11" t="s">
        <v>143</v>
      </c>
      <c r="E674" s="24" t="s">
        <v>373</v>
      </c>
      <c r="F674" s="11" t="s">
        <v>372</v>
      </c>
      <c r="G674" s="11" t="s">
        <v>1350</v>
      </c>
      <c r="H674" s="11" t="s">
        <v>374</v>
      </c>
      <c r="I674" s="12" t="s">
        <v>375</v>
      </c>
      <c r="J674" s="25">
        <v>43223</v>
      </c>
      <c r="K674" s="25">
        <v>44107</v>
      </c>
      <c r="L674" s="26">
        <f t="shared" si="260"/>
        <v>83.983863433628301</v>
      </c>
      <c r="M674" s="11" t="s">
        <v>272</v>
      </c>
      <c r="N674" s="11" t="s">
        <v>304</v>
      </c>
      <c r="O674" s="11" t="s">
        <v>304</v>
      </c>
      <c r="P674" s="27" t="s">
        <v>138</v>
      </c>
      <c r="Q674" s="11" t="s">
        <v>34</v>
      </c>
      <c r="R674" s="2">
        <f t="shared" si="261"/>
        <v>5309367.59</v>
      </c>
      <c r="S674" s="2">
        <v>4281542.37</v>
      </c>
      <c r="T674" s="2">
        <v>1027825.22</v>
      </c>
      <c r="U674" s="2">
        <f t="shared" si="258"/>
        <v>0</v>
      </c>
      <c r="V674" s="28">
        <v>0</v>
      </c>
      <c r="W674" s="28">
        <v>0</v>
      </c>
      <c r="X674" s="2">
        <f t="shared" si="262"/>
        <v>1012522.56</v>
      </c>
      <c r="Y674" s="2">
        <v>755566.28</v>
      </c>
      <c r="Z674" s="2">
        <v>256956.28</v>
      </c>
      <c r="AA674" s="2">
        <f t="shared" si="263"/>
        <v>0</v>
      </c>
      <c r="AB674" s="2">
        <v>0</v>
      </c>
      <c r="AC674" s="2">
        <v>0</v>
      </c>
      <c r="AD674" s="16">
        <f t="shared" si="259"/>
        <v>6321890.1500000004</v>
      </c>
      <c r="AE674" s="2">
        <v>0</v>
      </c>
      <c r="AF674" s="2">
        <f t="shared" si="264"/>
        <v>6321890.1500000004</v>
      </c>
      <c r="AG674" s="38" t="s">
        <v>857</v>
      </c>
      <c r="AH674" s="29" t="s">
        <v>3281</v>
      </c>
      <c r="AI674" s="30">
        <f>2961929.57+845307.66+274031.87</f>
        <v>4081269.1</v>
      </c>
      <c r="AJ674" s="30">
        <v>0</v>
      </c>
    </row>
    <row r="675" spans="1:36" ht="409.5" x14ac:dyDescent="0.25">
      <c r="A675" s="6">
        <v>672</v>
      </c>
      <c r="B675" s="31">
        <v>116294</v>
      </c>
      <c r="C675" s="11">
        <v>395</v>
      </c>
      <c r="D675" s="138" t="s">
        <v>143</v>
      </c>
      <c r="E675" s="24" t="s">
        <v>373</v>
      </c>
      <c r="F675" s="11" t="s">
        <v>680</v>
      </c>
      <c r="G675" s="11" t="s">
        <v>1397</v>
      </c>
      <c r="H675" s="11" t="s">
        <v>681</v>
      </c>
      <c r="I675" s="120" t="s">
        <v>2931</v>
      </c>
      <c r="J675" s="25">
        <v>43307</v>
      </c>
      <c r="K675" s="25">
        <v>45195</v>
      </c>
      <c r="L675" s="26">
        <f t="shared" si="260"/>
        <v>83.983862712560892</v>
      </c>
      <c r="M675" s="11" t="s">
        <v>272</v>
      </c>
      <c r="N675" s="11" t="s">
        <v>261</v>
      </c>
      <c r="O675" s="11" t="s">
        <v>261</v>
      </c>
      <c r="P675" s="27" t="s">
        <v>138</v>
      </c>
      <c r="Q675" s="11" t="s">
        <v>34</v>
      </c>
      <c r="R675" s="2">
        <f t="shared" si="261"/>
        <v>9064991.2000000011</v>
      </c>
      <c r="S675" s="2">
        <v>7310125.6500000004</v>
      </c>
      <c r="T675" s="2">
        <v>1754865.55</v>
      </c>
      <c r="U675" s="2">
        <f t="shared" si="258"/>
        <v>835727.90999999992</v>
      </c>
      <c r="V675" s="28">
        <v>617609.94999999995</v>
      </c>
      <c r="W675" s="28">
        <v>218117.96</v>
      </c>
      <c r="X675" s="2">
        <f t="shared" si="262"/>
        <v>893010.66999999993</v>
      </c>
      <c r="Y675" s="2">
        <v>672412.2</v>
      </c>
      <c r="Z675" s="2">
        <v>220598.47</v>
      </c>
      <c r="AA675" s="2">
        <f t="shared" si="263"/>
        <v>0</v>
      </c>
      <c r="AB675" s="2">
        <v>0</v>
      </c>
      <c r="AC675" s="2">
        <v>0</v>
      </c>
      <c r="AD675" s="16">
        <f t="shared" si="259"/>
        <v>10793729.780000001</v>
      </c>
      <c r="AE675" s="2"/>
      <c r="AF675" s="2">
        <f>AD675+AE675</f>
        <v>10793729.780000001</v>
      </c>
      <c r="AG675" s="38" t="s">
        <v>486</v>
      </c>
      <c r="AH675" s="29" t="s">
        <v>3280</v>
      </c>
      <c r="AI675" s="30">
        <f>567275.05+242142.38+389249.89+737324.25+434872.3+696189.68+508301.21+556805.38+653166.06</f>
        <v>4785326.2</v>
      </c>
      <c r="AJ675" s="30">
        <f>37941.44+64466.26+39373.95+93368.67+48409.99+72069.64+49590.47+63033.49+81108</f>
        <v>549361.91</v>
      </c>
    </row>
    <row r="676" spans="1:36" ht="141.75" x14ac:dyDescent="0.25">
      <c r="A676" s="6">
        <v>673</v>
      </c>
      <c r="B676" s="31">
        <v>115539</v>
      </c>
      <c r="C676" s="11">
        <v>396</v>
      </c>
      <c r="D676" s="11" t="s">
        <v>143</v>
      </c>
      <c r="E676" s="24" t="s">
        <v>373</v>
      </c>
      <c r="F676" s="11" t="s">
        <v>421</v>
      </c>
      <c r="G676" s="11" t="s">
        <v>74</v>
      </c>
      <c r="H676" s="11" t="s">
        <v>422</v>
      </c>
      <c r="I676" s="12" t="s">
        <v>454</v>
      </c>
      <c r="J676" s="25">
        <v>43249</v>
      </c>
      <c r="K676" s="25">
        <v>45045</v>
      </c>
      <c r="L676" s="26">
        <f t="shared" si="260"/>
        <v>83.983862084228164</v>
      </c>
      <c r="M676" s="11" t="s">
        <v>272</v>
      </c>
      <c r="N676" s="11" t="s">
        <v>261</v>
      </c>
      <c r="O676" s="11" t="s">
        <v>261</v>
      </c>
      <c r="P676" s="27" t="s">
        <v>138</v>
      </c>
      <c r="Q676" s="11" t="s">
        <v>34</v>
      </c>
      <c r="R676" s="2">
        <f t="shared" si="261"/>
        <v>2215320.0428925399</v>
      </c>
      <c r="S676" s="2">
        <v>1786462.63</v>
      </c>
      <c r="T676" s="2">
        <v>428857.41289253999</v>
      </c>
      <c r="U676" s="2">
        <f t="shared" si="258"/>
        <v>179063.2</v>
      </c>
      <c r="V676" s="28">
        <v>132329.23000000001</v>
      </c>
      <c r="W676" s="28">
        <v>46733.97</v>
      </c>
      <c r="X676" s="2">
        <f t="shared" si="262"/>
        <v>243409.28999999998</v>
      </c>
      <c r="Y676" s="2">
        <v>182928.87</v>
      </c>
      <c r="Z676" s="2">
        <v>60480.42</v>
      </c>
      <c r="AA676" s="2">
        <f t="shared" si="263"/>
        <v>0</v>
      </c>
      <c r="AB676" s="2">
        <v>0</v>
      </c>
      <c r="AC676" s="2">
        <v>0</v>
      </c>
      <c r="AD676" s="16">
        <f t="shared" si="259"/>
        <v>2637792.5328925401</v>
      </c>
      <c r="AE676" s="2">
        <v>0</v>
      </c>
      <c r="AF676" s="2">
        <f t="shared" si="264"/>
        <v>2637792.5328925401</v>
      </c>
      <c r="AG676" s="38" t="s">
        <v>486</v>
      </c>
      <c r="AH676" s="29" t="s">
        <v>3162</v>
      </c>
      <c r="AI676" s="30">
        <f>331641.17-13183.87+408631.07+27766.75+242691.52+34335.41+227203.49+94761.52</f>
        <v>1353847.06</v>
      </c>
      <c r="AJ676" s="30">
        <f>13183.87+71835.79+32129.9+37010.29</f>
        <v>154159.85</v>
      </c>
    </row>
    <row r="677" spans="1:36" ht="189" x14ac:dyDescent="0.25">
      <c r="A677" s="6">
        <v>674</v>
      </c>
      <c r="B677" s="31">
        <v>111701</v>
      </c>
      <c r="C677" s="11">
        <v>251</v>
      </c>
      <c r="D677" s="11" t="s">
        <v>143</v>
      </c>
      <c r="E677" s="24" t="s">
        <v>270</v>
      </c>
      <c r="F677" s="27" t="s">
        <v>386</v>
      </c>
      <c r="G677" s="145" t="s">
        <v>387</v>
      </c>
      <c r="H677" s="145" t="s">
        <v>388</v>
      </c>
      <c r="I677" s="146" t="s">
        <v>447</v>
      </c>
      <c r="J677" s="25">
        <v>43231</v>
      </c>
      <c r="K677" s="25">
        <v>43780</v>
      </c>
      <c r="L677" s="26">
        <f t="shared" si="260"/>
        <v>82.304186092487143</v>
      </c>
      <c r="M677" s="11" t="s">
        <v>272</v>
      </c>
      <c r="N677" s="11" t="s">
        <v>226</v>
      </c>
      <c r="O677" s="11" t="s">
        <v>226</v>
      </c>
      <c r="P677" s="27" t="s">
        <v>274</v>
      </c>
      <c r="Q677" s="11" t="s">
        <v>34</v>
      </c>
      <c r="R677" s="2">
        <f t="shared" si="261"/>
        <v>643463.74</v>
      </c>
      <c r="S677" s="28">
        <v>518897.45</v>
      </c>
      <c r="T677" s="28">
        <v>124566.29</v>
      </c>
      <c r="U677" s="2">
        <f t="shared" ref="U677:U708" si="265">V677+W677</f>
        <v>122711.73</v>
      </c>
      <c r="V677" s="28">
        <v>91570.15</v>
      </c>
      <c r="W677" s="28">
        <v>31141.58</v>
      </c>
      <c r="X677" s="2">
        <f t="shared" si="262"/>
        <v>0</v>
      </c>
      <c r="Y677" s="2">
        <v>0</v>
      </c>
      <c r="Z677" s="2">
        <v>0</v>
      </c>
      <c r="AA677" s="2">
        <f t="shared" si="263"/>
        <v>15636.21</v>
      </c>
      <c r="AB677" s="28">
        <v>12458.49</v>
      </c>
      <c r="AC677" s="28">
        <v>3177.72</v>
      </c>
      <c r="AD677" s="16">
        <f t="shared" si="259"/>
        <v>781811.67999999993</v>
      </c>
      <c r="AE677" s="2">
        <v>4162.62</v>
      </c>
      <c r="AF677" s="2">
        <f t="shared" si="264"/>
        <v>785974.29999999993</v>
      </c>
      <c r="AG677" s="21" t="s">
        <v>857</v>
      </c>
      <c r="AH677" s="29" t="s">
        <v>1185</v>
      </c>
      <c r="AI677" s="30">
        <f>95051.96+39484.25+23955.55-8000+211432.19+107515.78+78081.24</f>
        <v>547520.97</v>
      </c>
      <c r="AJ677" s="30">
        <f>15075.6+9055.47+4568.44+40321.17+20503.81+14890.48</f>
        <v>104414.96999999999</v>
      </c>
    </row>
    <row r="678" spans="1:36" ht="204.75" x14ac:dyDescent="0.25">
      <c r="A678" s="6">
        <v>675</v>
      </c>
      <c r="B678" s="31">
        <v>111284</v>
      </c>
      <c r="C678" s="11">
        <v>182</v>
      </c>
      <c r="D678" s="11" t="s">
        <v>143</v>
      </c>
      <c r="E678" s="24" t="s">
        <v>270</v>
      </c>
      <c r="F678" s="27" t="s">
        <v>392</v>
      </c>
      <c r="G678" s="11" t="s">
        <v>393</v>
      </c>
      <c r="H678" s="70"/>
      <c r="I678" s="45" t="s">
        <v>448</v>
      </c>
      <c r="J678" s="25">
        <v>43236</v>
      </c>
      <c r="K678" s="25">
        <v>43724</v>
      </c>
      <c r="L678" s="26">
        <f t="shared" si="260"/>
        <v>82.304186150868873</v>
      </c>
      <c r="M678" s="11" t="s">
        <v>272</v>
      </c>
      <c r="N678" s="11" t="s">
        <v>182</v>
      </c>
      <c r="O678" s="11" t="s">
        <v>394</v>
      </c>
      <c r="P678" s="27" t="s">
        <v>274</v>
      </c>
      <c r="Q678" s="11" t="s">
        <v>34</v>
      </c>
      <c r="R678" s="2">
        <f t="shared" si="261"/>
        <v>820224.26</v>
      </c>
      <c r="S678" s="2">
        <v>661439.4</v>
      </c>
      <c r="T678" s="2">
        <v>158784.85999999999</v>
      </c>
      <c r="U678" s="2">
        <f t="shared" si="265"/>
        <v>156420.81</v>
      </c>
      <c r="V678" s="28">
        <v>116724.6</v>
      </c>
      <c r="W678" s="28">
        <v>39696.21</v>
      </c>
      <c r="X678" s="2">
        <f t="shared" si="262"/>
        <v>0</v>
      </c>
      <c r="Y678" s="2">
        <v>0</v>
      </c>
      <c r="Z678" s="2">
        <v>0</v>
      </c>
      <c r="AA678" s="2">
        <f t="shared" si="263"/>
        <v>19931.53</v>
      </c>
      <c r="AB678" s="2">
        <v>15880.9</v>
      </c>
      <c r="AC678" s="2">
        <v>4050.63</v>
      </c>
      <c r="AD678" s="16">
        <f t="shared" si="259"/>
        <v>996576.60000000009</v>
      </c>
      <c r="AE678" s="2"/>
      <c r="AF678" s="2">
        <f t="shared" si="264"/>
        <v>996576.60000000009</v>
      </c>
      <c r="AG678" s="21" t="s">
        <v>857</v>
      </c>
      <c r="AH678" s="29" t="s">
        <v>151</v>
      </c>
      <c r="AI678" s="30">
        <f>589154.54+143024.16</f>
        <v>732178.70000000007</v>
      </c>
      <c r="AJ678" s="30">
        <f>93665.6+45964.48</f>
        <v>139630.08000000002</v>
      </c>
    </row>
    <row r="679" spans="1:36" ht="141.75" x14ac:dyDescent="0.25">
      <c r="A679" s="6">
        <v>676</v>
      </c>
      <c r="B679" s="31">
        <v>116994</v>
      </c>
      <c r="C679" s="11">
        <v>399</v>
      </c>
      <c r="D679" s="11" t="s">
        <v>143</v>
      </c>
      <c r="E679" s="24" t="s">
        <v>373</v>
      </c>
      <c r="F679" s="27" t="s">
        <v>1896</v>
      </c>
      <c r="G679" s="11" t="s">
        <v>74</v>
      </c>
      <c r="H679" s="8" t="s">
        <v>151</v>
      </c>
      <c r="I679" s="45" t="s">
        <v>449</v>
      </c>
      <c r="J679" s="25">
        <v>43236</v>
      </c>
      <c r="K679" s="25">
        <v>45001</v>
      </c>
      <c r="L679" s="26">
        <f t="shared" si="260"/>
        <v>83.983862745241581</v>
      </c>
      <c r="M679" s="11" t="s">
        <v>272</v>
      </c>
      <c r="N679" s="11" t="s">
        <v>261</v>
      </c>
      <c r="O679" s="11" t="s">
        <v>261</v>
      </c>
      <c r="P679" s="27" t="s">
        <v>138</v>
      </c>
      <c r="Q679" s="11" t="s">
        <v>34</v>
      </c>
      <c r="R679" s="2">
        <f t="shared" si="261"/>
        <v>5724895.4699999997</v>
      </c>
      <c r="S679" s="2">
        <v>4616629.47</v>
      </c>
      <c r="T679" s="2">
        <v>1108266</v>
      </c>
      <c r="U679" s="2">
        <f t="shared" si="265"/>
        <v>0</v>
      </c>
      <c r="V679" s="28">
        <v>0</v>
      </c>
      <c r="W679" s="28">
        <v>0</v>
      </c>
      <c r="X679" s="2">
        <f t="shared" si="262"/>
        <v>1091765.83</v>
      </c>
      <c r="Y679" s="2">
        <v>814699.26</v>
      </c>
      <c r="Z679" s="2">
        <v>277066.57</v>
      </c>
      <c r="AA679" s="2">
        <f t="shared" si="263"/>
        <v>0</v>
      </c>
      <c r="AB679" s="2">
        <v>0</v>
      </c>
      <c r="AC679" s="2">
        <v>0</v>
      </c>
      <c r="AD679" s="16">
        <f t="shared" si="259"/>
        <v>6816661.2999999998</v>
      </c>
      <c r="AE679" s="2">
        <v>0</v>
      </c>
      <c r="AF679" s="2">
        <f t="shared" si="264"/>
        <v>6816661.2999999998</v>
      </c>
      <c r="AG679" s="38" t="s">
        <v>486</v>
      </c>
      <c r="AH679" s="29" t="s">
        <v>2061</v>
      </c>
      <c r="AI679" s="30">
        <f>4248.74+31166.22+89220.52+57381.15+77993.31+62439.49+102447.37+71858.27+74201.42+68394.78+65729.97+61409+72550.3+45091.78</f>
        <v>884132.32000000007</v>
      </c>
      <c r="AJ679" s="30">
        <v>0</v>
      </c>
    </row>
    <row r="680" spans="1:36" ht="173.25" x14ac:dyDescent="0.25">
      <c r="A680" s="6">
        <v>677</v>
      </c>
      <c r="B680" s="31">
        <v>112921</v>
      </c>
      <c r="C680" s="11">
        <v>288</v>
      </c>
      <c r="D680" s="11" t="s">
        <v>143</v>
      </c>
      <c r="E680" s="24" t="s">
        <v>270</v>
      </c>
      <c r="F680" s="27" t="s">
        <v>1897</v>
      </c>
      <c r="G680" s="11" t="s">
        <v>395</v>
      </c>
      <c r="H680" s="11" t="s">
        <v>396</v>
      </c>
      <c r="I680" s="45" t="s">
        <v>397</v>
      </c>
      <c r="J680" s="25">
        <v>43236</v>
      </c>
      <c r="K680" s="25">
        <v>43724</v>
      </c>
      <c r="L680" s="26">
        <f t="shared" si="260"/>
        <v>82.304184477468439</v>
      </c>
      <c r="M680" s="11" t="s">
        <v>272</v>
      </c>
      <c r="N680" s="11" t="s">
        <v>186</v>
      </c>
      <c r="O680" s="11" t="s">
        <v>609</v>
      </c>
      <c r="P680" s="27" t="s">
        <v>274</v>
      </c>
      <c r="Q680" s="11" t="s">
        <v>34</v>
      </c>
      <c r="R680" s="2">
        <f t="shared" si="261"/>
        <v>692528.19000000006</v>
      </c>
      <c r="S680" s="2">
        <v>558463.68000000005</v>
      </c>
      <c r="T680" s="2">
        <v>134064.51</v>
      </c>
      <c r="U680" s="2">
        <f t="shared" si="265"/>
        <v>132068.54999999999</v>
      </c>
      <c r="V680" s="28">
        <v>98552.39</v>
      </c>
      <c r="W680" s="28">
        <v>33516.160000000003</v>
      </c>
      <c r="X680" s="2">
        <f t="shared" si="262"/>
        <v>0</v>
      </c>
      <c r="Y680" s="2">
        <v>0</v>
      </c>
      <c r="Z680" s="2">
        <v>0</v>
      </c>
      <c r="AA680" s="2">
        <f t="shared" si="263"/>
        <v>16828.509999999998</v>
      </c>
      <c r="AB680" s="2">
        <v>13408.49</v>
      </c>
      <c r="AC680" s="2">
        <v>3420.02</v>
      </c>
      <c r="AD680" s="16">
        <f t="shared" si="259"/>
        <v>841425.25</v>
      </c>
      <c r="AE680" s="2">
        <v>0</v>
      </c>
      <c r="AF680" s="2">
        <f t="shared" si="264"/>
        <v>841425.25</v>
      </c>
      <c r="AG680" s="21" t="s">
        <v>857</v>
      </c>
      <c r="AH680" s="29" t="s">
        <v>1083</v>
      </c>
      <c r="AI680" s="30">
        <f>59000+45054.47-7168.82+43487.54+82400+27588.29+82400+83329.15+139789.65+86231.39</f>
        <v>642111.67000000004</v>
      </c>
      <c r="AJ680" s="30">
        <f>15760.94+11008.93+20975.3+31605.35+26658.52+16444.76</f>
        <v>122453.79999999999</v>
      </c>
    </row>
    <row r="681" spans="1:36" ht="141.75" x14ac:dyDescent="0.25">
      <c r="A681" s="6">
        <v>678</v>
      </c>
      <c r="B681" s="31">
        <v>122235</v>
      </c>
      <c r="C681" s="11">
        <v>60</v>
      </c>
      <c r="D681" s="11" t="s">
        <v>145</v>
      </c>
      <c r="E681" s="24" t="s">
        <v>123</v>
      </c>
      <c r="F681" s="27" t="s">
        <v>398</v>
      </c>
      <c r="G681" s="11" t="s">
        <v>399</v>
      </c>
      <c r="H681" s="8" t="s">
        <v>151</v>
      </c>
      <c r="I681" s="45" t="s">
        <v>400</v>
      </c>
      <c r="J681" s="25">
        <v>43236</v>
      </c>
      <c r="K681" s="25">
        <v>44911</v>
      </c>
      <c r="L681" s="26">
        <f t="shared" si="260"/>
        <v>83.983862950139908</v>
      </c>
      <c r="M681" s="11" t="s">
        <v>272</v>
      </c>
      <c r="N681" s="11" t="s">
        <v>261</v>
      </c>
      <c r="O681" s="11" t="s">
        <v>261</v>
      </c>
      <c r="P681" s="27" t="s">
        <v>138</v>
      </c>
      <c r="Q681" s="11" t="s">
        <v>34</v>
      </c>
      <c r="R681" s="2">
        <f t="shared" si="261"/>
        <v>9422880.1600000001</v>
      </c>
      <c r="S681" s="2">
        <v>7598731.8799999999</v>
      </c>
      <c r="T681" s="2">
        <v>1824148.28</v>
      </c>
      <c r="U681" s="2">
        <f t="shared" si="265"/>
        <v>0</v>
      </c>
      <c r="V681" s="28"/>
      <c r="W681" s="28"/>
      <c r="X681" s="2">
        <f t="shared" si="262"/>
        <v>1796989.74</v>
      </c>
      <c r="Y681" s="2">
        <v>1340952.67</v>
      </c>
      <c r="Z681" s="2">
        <v>456037.07</v>
      </c>
      <c r="AA681" s="2">
        <f t="shared" si="263"/>
        <v>0</v>
      </c>
      <c r="AB681" s="2">
        <v>0</v>
      </c>
      <c r="AC681" s="2">
        <v>0</v>
      </c>
      <c r="AD681" s="16">
        <f t="shared" si="259"/>
        <v>11219869.9</v>
      </c>
      <c r="AE681" s="2">
        <v>0</v>
      </c>
      <c r="AF681" s="2">
        <f t="shared" si="264"/>
        <v>11219869.9</v>
      </c>
      <c r="AG681" s="38" t="s">
        <v>486</v>
      </c>
      <c r="AH681" s="29" t="s">
        <v>1643</v>
      </c>
      <c r="AI681" s="30">
        <f>177000+30000-137868.19+11251.1+63755.9+119800.68+155000+50000+298936+49415.83+1102504.47</f>
        <v>1919795.79</v>
      </c>
      <c r="AJ681" s="30">
        <v>0</v>
      </c>
    </row>
    <row r="682" spans="1:36" ht="141.75" x14ac:dyDescent="0.25">
      <c r="A682" s="6">
        <v>679</v>
      </c>
      <c r="B682" s="31">
        <v>113205</v>
      </c>
      <c r="C682" s="11">
        <v>286</v>
      </c>
      <c r="D682" s="11" t="s">
        <v>143</v>
      </c>
      <c r="E682" s="24" t="s">
        <v>270</v>
      </c>
      <c r="F682" s="27" t="s">
        <v>401</v>
      </c>
      <c r="G682" s="11" t="s">
        <v>402</v>
      </c>
      <c r="H682" s="11" t="s">
        <v>403</v>
      </c>
      <c r="I682" s="45" t="s">
        <v>450</v>
      </c>
      <c r="J682" s="25">
        <v>43243</v>
      </c>
      <c r="K682" s="25">
        <v>43700</v>
      </c>
      <c r="L682" s="26">
        <f t="shared" si="260"/>
        <v>82.304187102769717</v>
      </c>
      <c r="M682" s="11" t="s">
        <v>272</v>
      </c>
      <c r="N682" s="11" t="s">
        <v>261</v>
      </c>
      <c r="O682" s="11" t="s">
        <v>261</v>
      </c>
      <c r="P682" s="27" t="s">
        <v>138</v>
      </c>
      <c r="Q682" s="11" t="s">
        <v>34</v>
      </c>
      <c r="R682" s="2">
        <f t="shared" si="261"/>
        <v>750653.75</v>
      </c>
      <c r="S682" s="2">
        <v>605336.84</v>
      </c>
      <c r="T682" s="2">
        <v>145316.91</v>
      </c>
      <c r="U682" s="2">
        <f t="shared" si="265"/>
        <v>143153.36000000002</v>
      </c>
      <c r="V682" s="28">
        <v>106824.13</v>
      </c>
      <c r="W682" s="28">
        <v>36329.230000000003</v>
      </c>
      <c r="X682" s="2">
        <f t="shared" si="262"/>
        <v>0</v>
      </c>
      <c r="Y682" s="2">
        <v>0</v>
      </c>
      <c r="Z682" s="2">
        <v>0</v>
      </c>
      <c r="AA682" s="2">
        <f t="shared" si="263"/>
        <v>18240.96</v>
      </c>
      <c r="AB682" s="2">
        <v>14533.91</v>
      </c>
      <c r="AC682" s="2">
        <v>3707.05</v>
      </c>
      <c r="AD682" s="16">
        <f t="shared" si="259"/>
        <v>912048.07</v>
      </c>
      <c r="AE682" s="2">
        <v>0</v>
      </c>
      <c r="AF682" s="2">
        <f t="shared" si="264"/>
        <v>912048.07</v>
      </c>
      <c r="AG682" s="21" t="s">
        <v>857</v>
      </c>
      <c r="AH682" s="29"/>
      <c r="AI682" s="30">
        <f>80989.07+73791.77+71604.65-11418.94+71296.47+10538.9+120276.34+289691.6-34329.09</f>
        <v>672440.77</v>
      </c>
      <c r="AJ682" s="30">
        <f>12124.41+13655.35+11418.94+6176.71+18770.39+55245.61+10846.33</f>
        <v>128237.74</v>
      </c>
    </row>
    <row r="683" spans="1:36" ht="409.5" x14ac:dyDescent="0.25">
      <c r="A683" s="6">
        <v>680</v>
      </c>
      <c r="B683" s="31">
        <v>111084</v>
      </c>
      <c r="C683" s="11">
        <v>343</v>
      </c>
      <c r="D683" s="11" t="s">
        <v>143</v>
      </c>
      <c r="E683" s="24" t="s">
        <v>270</v>
      </c>
      <c r="F683" s="147" t="s">
        <v>404</v>
      </c>
      <c r="G683" s="148" t="s">
        <v>405</v>
      </c>
      <c r="H683" s="11" t="s">
        <v>404</v>
      </c>
      <c r="I683" s="45" t="s">
        <v>451</v>
      </c>
      <c r="J683" s="25">
        <v>43243</v>
      </c>
      <c r="K683" s="25">
        <v>43731</v>
      </c>
      <c r="L683" s="26">
        <f t="shared" si="260"/>
        <v>82.304185103544512</v>
      </c>
      <c r="M683" s="11" t="s">
        <v>272</v>
      </c>
      <c r="N683" s="11" t="s">
        <v>261</v>
      </c>
      <c r="O683" s="11" t="s">
        <v>261</v>
      </c>
      <c r="P683" s="27" t="s">
        <v>274</v>
      </c>
      <c r="Q683" s="11" t="s">
        <v>34</v>
      </c>
      <c r="R683" s="2">
        <f t="shared" si="261"/>
        <v>698744.26</v>
      </c>
      <c r="S683" s="23">
        <v>563476.37</v>
      </c>
      <c r="T683" s="23">
        <v>135267.89000000001</v>
      </c>
      <c r="U683" s="2">
        <f t="shared" si="265"/>
        <v>133253.97999999998</v>
      </c>
      <c r="V683" s="149">
        <v>99437.01</v>
      </c>
      <c r="W683" s="81">
        <v>33816.97</v>
      </c>
      <c r="X683" s="2">
        <f t="shared" si="262"/>
        <v>0</v>
      </c>
      <c r="Y683" s="2">
        <v>0</v>
      </c>
      <c r="Z683" s="2">
        <v>0</v>
      </c>
      <c r="AA683" s="2">
        <f t="shared" si="263"/>
        <v>16979.560000000001</v>
      </c>
      <c r="AB683" s="23">
        <v>13528.85</v>
      </c>
      <c r="AC683" s="150">
        <v>3450.71</v>
      </c>
      <c r="AD683" s="16">
        <f t="shared" si="259"/>
        <v>848977.8</v>
      </c>
      <c r="AE683" s="2">
        <v>0</v>
      </c>
      <c r="AF683" s="2">
        <f t="shared" si="264"/>
        <v>848977.8</v>
      </c>
      <c r="AG683" s="21" t="s">
        <v>857</v>
      </c>
      <c r="AH683" s="29"/>
      <c r="AI683" s="30">
        <f>410601.28+140850.68</f>
        <v>551451.96</v>
      </c>
      <c r="AJ683" s="30">
        <f>12927.23+3853.32+17589.26+10795.58+17309.82+42689.48</f>
        <v>105164.69</v>
      </c>
    </row>
    <row r="684" spans="1:36" ht="362.25" x14ac:dyDescent="0.25">
      <c r="A684" s="6">
        <v>681</v>
      </c>
      <c r="B684" s="31">
        <v>110679</v>
      </c>
      <c r="C684" s="11">
        <v>197</v>
      </c>
      <c r="D684" s="11" t="s">
        <v>143</v>
      </c>
      <c r="E684" s="24" t="s">
        <v>270</v>
      </c>
      <c r="F684" s="27" t="s">
        <v>406</v>
      </c>
      <c r="G684" s="11" t="s">
        <v>408</v>
      </c>
      <c r="H684" s="8" t="s">
        <v>151</v>
      </c>
      <c r="I684" s="12" t="s">
        <v>452</v>
      </c>
      <c r="J684" s="25">
        <v>43243</v>
      </c>
      <c r="K684" s="25">
        <v>43731</v>
      </c>
      <c r="L684" s="26">
        <f t="shared" si="260"/>
        <v>82.304183634873581</v>
      </c>
      <c r="M684" s="11" t="s">
        <v>272</v>
      </c>
      <c r="N684" s="11" t="s">
        <v>407</v>
      </c>
      <c r="O684" s="11" t="s">
        <v>1916</v>
      </c>
      <c r="P684" s="27" t="s">
        <v>274</v>
      </c>
      <c r="Q684" s="11" t="s">
        <v>34</v>
      </c>
      <c r="R684" s="2">
        <f t="shared" si="261"/>
        <v>763944.7</v>
      </c>
      <c r="S684" s="2">
        <v>616054.81999999995</v>
      </c>
      <c r="T684" s="2">
        <v>147889.88</v>
      </c>
      <c r="U684" s="2">
        <f t="shared" si="265"/>
        <v>145688.04999999999</v>
      </c>
      <c r="V684" s="28">
        <v>108715.59</v>
      </c>
      <c r="W684" s="28">
        <v>36972.46</v>
      </c>
      <c r="X684" s="2">
        <f t="shared" si="262"/>
        <v>0</v>
      </c>
      <c r="Y684" s="2">
        <v>0</v>
      </c>
      <c r="Z684" s="2">
        <v>0</v>
      </c>
      <c r="AA684" s="2">
        <f t="shared" si="263"/>
        <v>18563.93</v>
      </c>
      <c r="AB684" s="2">
        <v>14791.24</v>
      </c>
      <c r="AC684" s="2">
        <v>3772.69</v>
      </c>
      <c r="AD684" s="16">
        <f t="shared" si="259"/>
        <v>928196.68</v>
      </c>
      <c r="AE684" s="2">
        <v>0</v>
      </c>
      <c r="AF684" s="2">
        <f t="shared" si="264"/>
        <v>928196.68</v>
      </c>
      <c r="AG684" s="21" t="s">
        <v>857</v>
      </c>
      <c r="AH684" s="29" t="s">
        <v>1269</v>
      </c>
      <c r="AI684" s="30">
        <f>521279.95+227140.72-4067.74</f>
        <v>744352.93</v>
      </c>
      <c r="AJ684" s="30">
        <f>94550.63+43316.87+4084.24</f>
        <v>141951.74</v>
      </c>
    </row>
    <row r="685" spans="1:36" ht="173.25" x14ac:dyDescent="0.25">
      <c r="A685" s="6">
        <v>682</v>
      </c>
      <c r="B685" s="31">
        <v>112787</v>
      </c>
      <c r="C685" s="11">
        <v>276</v>
      </c>
      <c r="D685" s="11" t="s">
        <v>143</v>
      </c>
      <c r="E685" s="24" t="s">
        <v>270</v>
      </c>
      <c r="F685" s="27" t="s">
        <v>409</v>
      </c>
      <c r="G685" s="27" t="s">
        <v>410</v>
      </c>
      <c r="H685" s="11" t="s">
        <v>412</v>
      </c>
      <c r="I685" s="12" t="s">
        <v>413</v>
      </c>
      <c r="J685" s="25">
        <v>43243</v>
      </c>
      <c r="K685" s="25">
        <v>43822</v>
      </c>
      <c r="L685" s="26">
        <f t="shared" si="260"/>
        <v>82.304187377441963</v>
      </c>
      <c r="M685" s="11" t="s">
        <v>272</v>
      </c>
      <c r="N685" s="11" t="s">
        <v>411</v>
      </c>
      <c r="O685" s="11" t="s">
        <v>411</v>
      </c>
      <c r="P685" s="27" t="s">
        <v>274</v>
      </c>
      <c r="Q685" s="11" t="s">
        <v>34</v>
      </c>
      <c r="R685" s="2">
        <f t="shared" si="261"/>
        <v>813947.08000000007</v>
      </c>
      <c r="S685" s="2">
        <v>656377.4</v>
      </c>
      <c r="T685" s="2">
        <v>157569.68</v>
      </c>
      <c r="U685" s="2">
        <f t="shared" si="265"/>
        <v>155223.71000000002</v>
      </c>
      <c r="V685" s="28">
        <v>115831.3</v>
      </c>
      <c r="W685" s="28">
        <v>39392.410000000003</v>
      </c>
      <c r="X685" s="2">
        <f t="shared" si="262"/>
        <v>0</v>
      </c>
      <c r="Y685" s="2">
        <v>0</v>
      </c>
      <c r="Z685" s="2">
        <v>0</v>
      </c>
      <c r="AA685" s="2">
        <f t="shared" si="263"/>
        <v>19778.990000000002</v>
      </c>
      <c r="AB685" s="2">
        <v>15759.36</v>
      </c>
      <c r="AC685" s="2">
        <v>4019.63</v>
      </c>
      <c r="AD685" s="16">
        <f t="shared" si="259"/>
        <v>988949.78</v>
      </c>
      <c r="AE685" s="2">
        <v>0</v>
      </c>
      <c r="AF685" s="2">
        <f t="shared" si="264"/>
        <v>988949.78</v>
      </c>
      <c r="AG685" s="38" t="s">
        <v>857</v>
      </c>
      <c r="AH685" s="29" t="s">
        <v>1374</v>
      </c>
      <c r="AI685" s="30">
        <f>508508.59+217597.28+20606.15-1971.58+7286.02</f>
        <v>752026.46000000008</v>
      </c>
      <c r="AJ685" s="30">
        <f>79461.28+51123.81+3929.69+7150.18+1750.08</f>
        <v>143415.03999999998</v>
      </c>
    </row>
    <row r="686" spans="1:36" ht="141.75" x14ac:dyDescent="0.25">
      <c r="A686" s="6">
        <v>683</v>
      </c>
      <c r="B686" s="31">
        <v>110998</v>
      </c>
      <c r="C686" s="11">
        <v>333</v>
      </c>
      <c r="D686" s="11" t="s">
        <v>143</v>
      </c>
      <c r="E686" s="24" t="s">
        <v>270</v>
      </c>
      <c r="F686" s="27" t="s">
        <v>414</v>
      </c>
      <c r="G686" s="27" t="s">
        <v>415</v>
      </c>
      <c r="H686" s="8" t="s">
        <v>151</v>
      </c>
      <c r="I686" s="12" t="s">
        <v>453</v>
      </c>
      <c r="J686" s="25">
        <v>43244</v>
      </c>
      <c r="K686" s="25">
        <v>43762</v>
      </c>
      <c r="L686" s="26">
        <f t="shared" si="260"/>
        <v>82.304186800362686</v>
      </c>
      <c r="M686" s="11" t="s">
        <v>272</v>
      </c>
      <c r="N686" s="11" t="s">
        <v>261</v>
      </c>
      <c r="O686" s="11" t="s">
        <v>261</v>
      </c>
      <c r="P686" s="27" t="s">
        <v>274</v>
      </c>
      <c r="Q686" s="11" t="s">
        <v>34</v>
      </c>
      <c r="R686" s="2">
        <f t="shared" si="261"/>
        <v>802303.17999999993</v>
      </c>
      <c r="S686" s="2">
        <v>646987.62</v>
      </c>
      <c r="T686" s="2">
        <v>155315.56</v>
      </c>
      <c r="U686" s="2">
        <f t="shared" si="265"/>
        <v>153003.18</v>
      </c>
      <c r="V686" s="28">
        <v>114174.29</v>
      </c>
      <c r="W686" s="28">
        <v>38828.89</v>
      </c>
      <c r="X686" s="2">
        <f t="shared" si="262"/>
        <v>0</v>
      </c>
      <c r="Y686" s="151">
        <v>0</v>
      </c>
      <c r="Z686" s="151">
        <v>0</v>
      </c>
      <c r="AA686" s="2">
        <f t="shared" si="263"/>
        <v>19496.03</v>
      </c>
      <c r="AB686" s="2">
        <v>15533.9</v>
      </c>
      <c r="AC686" s="2">
        <v>3962.13</v>
      </c>
      <c r="AD686" s="16">
        <f t="shared" si="259"/>
        <v>974802.3899999999</v>
      </c>
      <c r="AE686" s="2">
        <v>0</v>
      </c>
      <c r="AF686" s="2">
        <f t="shared" si="264"/>
        <v>974802.3899999999</v>
      </c>
      <c r="AG686" s="21" t="s">
        <v>857</v>
      </c>
      <c r="AH686" s="29" t="s">
        <v>1263</v>
      </c>
      <c r="AI686" s="30">
        <f>685815.27+32782.58+20651.76+10555.66</f>
        <v>749805.27</v>
      </c>
      <c r="AJ686" s="30">
        <f>115562.98+6251.8+3938.4+17238.46</f>
        <v>142991.63999999998</v>
      </c>
    </row>
    <row r="687" spans="1:36" ht="220.5" x14ac:dyDescent="0.25">
      <c r="A687" s="6">
        <v>684</v>
      </c>
      <c r="B687" s="152">
        <v>115759</v>
      </c>
      <c r="C687" s="138">
        <v>400</v>
      </c>
      <c r="D687" s="138" t="s">
        <v>143</v>
      </c>
      <c r="E687" s="139" t="s">
        <v>373</v>
      </c>
      <c r="F687" s="153" t="s">
        <v>514</v>
      </c>
      <c r="G687" s="138" t="s">
        <v>515</v>
      </c>
      <c r="H687" s="138" t="s">
        <v>516</v>
      </c>
      <c r="I687" s="154" t="s">
        <v>517</v>
      </c>
      <c r="J687" s="155">
        <v>43270</v>
      </c>
      <c r="K687" s="25">
        <v>44853</v>
      </c>
      <c r="L687" s="26">
        <f t="shared" si="260"/>
        <v>83.98386254912667</v>
      </c>
      <c r="M687" s="138" t="s">
        <v>272</v>
      </c>
      <c r="N687" s="11" t="s">
        <v>261</v>
      </c>
      <c r="O687" s="11" t="s">
        <v>261</v>
      </c>
      <c r="P687" s="153" t="s">
        <v>138</v>
      </c>
      <c r="Q687" s="138" t="s">
        <v>34</v>
      </c>
      <c r="R687" s="2">
        <f t="shared" si="261"/>
        <v>6356286.5300000003</v>
      </c>
      <c r="S687" s="2">
        <v>5125791.33</v>
      </c>
      <c r="T687" s="2">
        <v>1230495.2</v>
      </c>
      <c r="U687" s="2">
        <f t="shared" si="265"/>
        <v>0</v>
      </c>
      <c r="V687" s="28">
        <v>0</v>
      </c>
      <c r="W687" s="28">
        <v>0</v>
      </c>
      <c r="X687" s="2">
        <f t="shared" si="262"/>
        <v>1212175.24</v>
      </c>
      <c r="Y687" s="2">
        <v>904551.39</v>
      </c>
      <c r="Z687" s="2">
        <v>307623.84999999998</v>
      </c>
      <c r="AA687" s="2">
        <f t="shared" si="263"/>
        <v>0</v>
      </c>
      <c r="AB687" s="2">
        <v>0</v>
      </c>
      <c r="AC687" s="2">
        <v>0</v>
      </c>
      <c r="AD687" s="16">
        <f t="shared" si="259"/>
        <v>7568461.7700000005</v>
      </c>
      <c r="AE687" s="2"/>
      <c r="AF687" s="2">
        <f t="shared" si="264"/>
        <v>7568461.7700000005</v>
      </c>
      <c r="AG687" s="38" t="s">
        <v>857</v>
      </c>
      <c r="AH687" s="29" t="s">
        <v>1805</v>
      </c>
      <c r="AI687" s="30">
        <f>4870800.16+213439.97+149727.1+41958.34+400275.16+91968.64+22797.41+18285.05+5114.62+15958.97+25599.96+13107.23</f>
        <v>5869032.6099999994</v>
      </c>
      <c r="AJ687" s="30">
        <v>0</v>
      </c>
    </row>
    <row r="688" spans="1:36" ht="158.25" thickBot="1" x14ac:dyDescent="0.3">
      <c r="A688" s="6">
        <v>685</v>
      </c>
      <c r="B688" s="31">
        <v>118716</v>
      </c>
      <c r="C688" s="11">
        <v>455</v>
      </c>
      <c r="D688" s="97" t="s">
        <v>1640</v>
      </c>
      <c r="E688" s="24" t="s">
        <v>425</v>
      </c>
      <c r="F688" s="11" t="s">
        <v>423</v>
      </c>
      <c r="G688" s="27" t="s">
        <v>424</v>
      </c>
      <c r="H688" s="8" t="s">
        <v>151</v>
      </c>
      <c r="I688" s="12" t="s">
        <v>455</v>
      </c>
      <c r="J688" s="25">
        <v>43249</v>
      </c>
      <c r="K688" s="25">
        <v>44590</v>
      </c>
      <c r="L688" s="26">
        <f t="shared" si="260"/>
        <v>83.983862841968545</v>
      </c>
      <c r="M688" s="11" t="s">
        <v>272</v>
      </c>
      <c r="N688" s="11" t="s">
        <v>261</v>
      </c>
      <c r="O688" s="11" t="s">
        <v>261</v>
      </c>
      <c r="P688" s="27" t="s">
        <v>138</v>
      </c>
      <c r="Q688" s="11" t="s">
        <v>34</v>
      </c>
      <c r="R688" s="2">
        <f t="shared" si="261"/>
        <v>2343689.42</v>
      </c>
      <c r="S688" s="2">
        <v>1889981.33</v>
      </c>
      <c r="T688" s="2">
        <v>453708.09</v>
      </c>
      <c r="U688" s="2">
        <f t="shared" si="265"/>
        <v>0</v>
      </c>
      <c r="V688" s="28"/>
      <c r="W688" s="28"/>
      <c r="X688" s="2">
        <f t="shared" si="262"/>
        <v>446953.14</v>
      </c>
      <c r="Y688" s="2">
        <v>333526.11</v>
      </c>
      <c r="Z688" s="2">
        <v>113427.03</v>
      </c>
      <c r="AA688" s="2">
        <f t="shared" si="263"/>
        <v>0</v>
      </c>
      <c r="AB688" s="2">
        <v>0</v>
      </c>
      <c r="AC688" s="2">
        <v>0</v>
      </c>
      <c r="AD688" s="16">
        <f t="shared" si="259"/>
        <v>2790642.56</v>
      </c>
      <c r="AE688" s="2">
        <v>0</v>
      </c>
      <c r="AF688" s="2">
        <f t="shared" si="264"/>
        <v>2790642.56</v>
      </c>
      <c r="AG688" s="38" t="s">
        <v>857</v>
      </c>
      <c r="AH688" s="29" t="s">
        <v>1924</v>
      </c>
      <c r="AI688" s="30">
        <f>145011.94+359253.32+95755.51+413834.13+212612.28+361774.06+13423.98+9573.32+298573.91+81968.49+63221.23</f>
        <v>2055002.17</v>
      </c>
      <c r="AJ688" s="30">
        <v>0</v>
      </c>
    </row>
    <row r="689" spans="1:36" ht="283.5" x14ac:dyDescent="0.25">
      <c r="A689" s="6">
        <v>686</v>
      </c>
      <c r="B689" s="31">
        <v>109777</v>
      </c>
      <c r="C689" s="11">
        <v>363</v>
      </c>
      <c r="D689" s="11" t="s">
        <v>143</v>
      </c>
      <c r="E689" s="24" t="s">
        <v>270</v>
      </c>
      <c r="F689" s="27" t="s">
        <v>1898</v>
      </c>
      <c r="G689" s="15" t="s">
        <v>426</v>
      </c>
      <c r="H689" s="8" t="s">
        <v>151</v>
      </c>
      <c r="I689" s="44" t="s">
        <v>427</v>
      </c>
      <c r="J689" s="25">
        <v>43251</v>
      </c>
      <c r="K689" s="25">
        <v>43738</v>
      </c>
      <c r="L689" s="26">
        <f t="shared" si="260"/>
        <v>82.304185429325983</v>
      </c>
      <c r="M689" s="11" t="s">
        <v>272</v>
      </c>
      <c r="N689" s="11" t="s">
        <v>219</v>
      </c>
      <c r="O689" s="11" t="s">
        <v>357</v>
      </c>
      <c r="P689" s="27" t="s">
        <v>274</v>
      </c>
      <c r="Q689" s="11" t="s">
        <v>34</v>
      </c>
      <c r="R689" s="2">
        <f t="shared" si="261"/>
        <v>809738</v>
      </c>
      <c r="S689" s="2">
        <v>652983.16</v>
      </c>
      <c r="T689" s="2">
        <v>156754.84</v>
      </c>
      <c r="U689" s="2">
        <f t="shared" si="265"/>
        <v>154421.03</v>
      </c>
      <c r="V689" s="28">
        <v>115232.31</v>
      </c>
      <c r="W689" s="28">
        <v>39188.720000000001</v>
      </c>
      <c r="X689" s="2">
        <f t="shared" si="262"/>
        <v>0</v>
      </c>
      <c r="Y689" s="2">
        <v>0</v>
      </c>
      <c r="Z689" s="2">
        <v>0</v>
      </c>
      <c r="AA689" s="2">
        <f t="shared" si="263"/>
        <v>19676.72</v>
      </c>
      <c r="AB689" s="2">
        <v>15677.86</v>
      </c>
      <c r="AC689" s="2">
        <v>3998.86</v>
      </c>
      <c r="AD689" s="16">
        <f t="shared" si="259"/>
        <v>983835.75</v>
      </c>
      <c r="AE689" s="5">
        <v>0</v>
      </c>
      <c r="AF689" s="2">
        <f t="shared" si="264"/>
        <v>983835.75</v>
      </c>
      <c r="AG689" s="21" t="s">
        <v>857</v>
      </c>
      <c r="AH689" s="29" t="s">
        <v>1225</v>
      </c>
      <c r="AI689" s="156">
        <f>98383.57+67957.2+131759+61030.49+98383.57-15548.08+97077.59+100688.53-14300.18+89286.06+87658.61-28814.78</f>
        <v>773561.58</v>
      </c>
      <c r="AJ689" s="30">
        <f>12959.77+25127.1+30401.05+15548.08+19201.81+14300.18+16716.91+13267.11</f>
        <v>147522.01</v>
      </c>
    </row>
    <row r="690" spans="1:36" ht="189" x14ac:dyDescent="0.25">
      <c r="A690" s="6">
        <v>687</v>
      </c>
      <c r="B690" s="31">
        <v>112263</v>
      </c>
      <c r="C690" s="11">
        <v>212</v>
      </c>
      <c r="D690" s="11" t="s">
        <v>143</v>
      </c>
      <c r="E690" s="24" t="s">
        <v>270</v>
      </c>
      <c r="F690" s="27" t="s">
        <v>1899</v>
      </c>
      <c r="G690" s="27" t="s">
        <v>430</v>
      </c>
      <c r="H690" s="8" t="s">
        <v>151</v>
      </c>
      <c r="I690" s="12" t="s">
        <v>456</v>
      </c>
      <c r="J690" s="25">
        <v>43257</v>
      </c>
      <c r="K690" s="25">
        <v>43744</v>
      </c>
      <c r="L690" s="26">
        <f t="shared" si="260"/>
        <v>82.304186636665435</v>
      </c>
      <c r="M690" s="11" t="s">
        <v>272</v>
      </c>
      <c r="N690" s="11" t="s">
        <v>261</v>
      </c>
      <c r="O690" s="11" t="s">
        <v>261</v>
      </c>
      <c r="P690" s="27" t="s">
        <v>274</v>
      </c>
      <c r="Q690" s="11" t="s">
        <v>34</v>
      </c>
      <c r="R690" s="2">
        <f t="shared" si="261"/>
        <v>804068.05999999994</v>
      </c>
      <c r="S690" s="2">
        <v>648410.84</v>
      </c>
      <c r="T690" s="2">
        <v>155657.22</v>
      </c>
      <c r="U690" s="2">
        <f t="shared" si="265"/>
        <v>153339.75</v>
      </c>
      <c r="V690" s="28">
        <v>114425.45</v>
      </c>
      <c r="W690" s="28">
        <v>38914.300000000003</v>
      </c>
      <c r="X690" s="157">
        <f t="shared" si="262"/>
        <v>0</v>
      </c>
      <c r="Y690" s="2">
        <v>0</v>
      </c>
      <c r="Z690" s="2">
        <v>0</v>
      </c>
      <c r="AA690" s="2">
        <f t="shared" si="263"/>
        <v>19538.919999999998</v>
      </c>
      <c r="AB690" s="2">
        <v>15568.08</v>
      </c>
      <c r="AC690" s="2">
        <v>3970.84</v>
      </c>
      <c r="AD690" s="16">
        <f t="shared" si="259"/>
        <v>976946.73</v>
      </c>
      <c r="AE690" s="2">
        <v>0</v>
      </c>
      <c r="AF690" s="2">
        <f t="shared" si="264"/>
        <v>976946.73</v>
      </c>
      <c r="AG690" s="21" t="s">
        <v>857</v>
      </c>
      <c r="AH690" s="29"/>
      <c r="AI690" s="30">
        <f>84638.59+81518.25+15437.85+121639.28+42099.38+37504.88+114980.02+153441.7</f>
        <v>651259.94999999995</v>
      </c>
      <c r="AJ690" s="30">
        <f>13056.08+21574.93+4566.35+8028.56+23258.8+5820.82+47892.94</f>
        <v>124198.48000000001</v>
      </c>
    </row>
    <row r="691" spans="1:36" ht="141.75" x14ac:dyDescent="0.25">
      <c r="A691" s="6">
        <v>688</v>
      </c>
      <c r="B691" s="31">
        <v>118978</v>
      </c>
      <c r="C691" s="11">
        <v>453</v>
      </c>
      <c r="D691" s="97" t="s">
        <v>1640</v>
      </c>
      <c r="E691" s="24" t="s">
        <v>425</v>
      </c>
      <c r="F691" s="27" t="s">
        <v>429</v>
      </c>
      <c r="G691" s="27" t="s">
        <v>428</v>
      </c>
      <c r="H691" s="8" t="s">
        <v>151</v>
      </c>
      <c r="I691" s="12" t="s">
        <v>2932</v>
      </c>
      <c r="J691" s="25">
        <v>43257</v>
      </c>
      <c r="K691" s="25">
        <v>45266</v>
      </c>
      <c r="L691" s="26">
        <f t="shared" si="260"/>
        <v>83.983863086542428</v>
      </c>
      <c r="M691" s="11" t="s">
        <v>272</v>
      </c>
      <c r="N691" s="11" t="s">
        <v>261</v>
      </c>
      <c r="O691" s="11" t="s">
        <v>261</v>
      </c>
      <c r="P691" s="27" t="s">
        <v>138</v>
      </c>
      <c r="Q691" s="11" t="s">
        <v>34</v>
      </c>
      <c r="R691" s="2">
        <f t="shared" si="261"/>
        <v>10919953.02</v>
      </c>
      <c r="S691" s="2">
        <v>8805990.6999999993</v>
      </c>
      <c r="T691" s="2">
        <v>2113962.3199999998</v>
      </c>
      <c r="U691" s="2">
        <f t="shared" si="265"/>
        <v>0</v>
      </c>
      <c r="V691" s="28">
        <v>0</v>
      </c>
      <c r="W691" s="28">
        <v>0</v>
      </c>
      <c r="X691" s="2">
        <f t="shared" si="262"/>
        <v>2082488.9000000001</v>
      </c>
      <c r="Y691" s="2">
        <v>1553998.34</v>
      </c>
      <c r="Z691" s="2">
        <v>528490.56000000006</v>
      </c>
      <c r="AA691" s="2">
        <f t="shared" si="263"/>
        <v>0</v>
      </c>
      <c r="AB691" s="2">
        <v>0</v>
      </c>
      <c r="AC691" s="2">
        <v>0</v>
      </c>
      <c r="AD691" s="16">
        <f t="shared" si="259"/>
        <v>13002441.92</v>
      </c>
      <c r="AE691" s="2">
        <v>1503920</v>
      </c>
      <c r="AF691" s="2">
        <f t="shared" si="264"/>
        <v>14506361.92</v>
      </c>
      <c r="AG691" s="38" t="s">
        <v>486</v>
      </c>
      <c r="AH691" s="29" t="s">
        <v>1733</v>
      </c>
      <c r="AI691" s="30">
        <f>1130733.83+797136.44+44591.19+242036.75+45078.83+286038.72+673891.83+473227.59+71023.88+656509.41+642689.91</f>
        <v>5062958.38</v>
      </c>
      <c r="AJ691" s="30">
        <v>0</v>
      </c>
    </row>
    <row r="692" spans="1:36" ht="141.75" x14ac:dyDescent="0.25">
      <c r="A692" s="6">
        <v>689</v>
      </c>
      <c r="B692" s="31">
        <v>119317</v>
      </c>
      <c r="C692" s="11">
        <v>456</v>
      </c>
      <c r="D692" s="97" t="s">
        <v>1640</v>
      </c>
      <c r="E692" s="24" t="s">
        <v>425</v>
      </c>
      <c r="F692" s="27" t="s">
        <v>461</v>
      </c>
      <c r="G692" s="27" t="s">
        <v>518</v>
      </c>
      <c r="H692" s="8" t="s">
        <v>151</v>
      </c>
      <c r="I692" s="12" t="s">
        <v>2933</v>
      </c>
      <c r="J692" s="25">
        <v>43257</v>
      </c>
      <c r="K692" s="25">
        <v>44353</v>
      </c>
      <c r="L692" s="26">
        <f t="shared" si="260"/>
        <v>83.98386278492832</v>
      </c>
      <c r="M692" s="11" t="s">
        <v>272</v>
      </c>
      <c r="N692" s="11" t="s">
        <v>261</v>
      </c>
      <c r="O692" s="11" t="s">
        <v>261</v>
      </c>
      <c r="P692" s="27" t="s">
        <v>138</v>
      </c>
      <c r="Q692" s="11" t="s">
        <v>34</v>
      </c>
      <c r="R692" s="2">
        <f t="shared" si="261"/>
        <v>26702638.300000001</v>
      </c>
      <c r="S692" s="2">
        <v>21533351.300000001</v>
      </c>
      <c r="T692" s="2">
        <v>5169287</v>
      </c>
      <c r="U692" s="2">
        <f t="shared" si="265"/>
        <v>0</v>
      </c>
      <c r="V692" s="28"/>
      <c r="W692" s="28"/>
      <c r="X692" s="2">
        <f t="shared" si="262"/>
        <v>5092324.9399999995</v>
      </c>
      <c r="Y692" s="2">
        <v>3800003.21</v>
      </c>
      <c r="Z692" s="2">
        <v>1292321.73</v>
      </c>
      <c r="AA692" s="2">
        <f t="shared" si="263"/>
        <v>0</v>
      </c>
      <c r="AB692" s="2">
        <v>0</v>
      </c>
      <c r="AC692" s="2">
        <v>0</v>
      </c>
      <c r="AD692" s="16">
        <f t="shared" si="259"/>
        <v>31794963.240000002</v>
      </c>
      <c r="AE692" s="2">
        <v>0</v>
      </c>
      <c r="AF692" s="2">
        <f t="shared" si="264"/>
        <v>31794963.240000002</v>
      </c>
      <c r="AG692" s="38" t="s">
        <v>857</v>
      </c>
      <c r="AH692" s="29" t="s">
        <v>1715</v>
      </c>
      <c r="AI692" s="30">
        <f>13204122.23+142867.13+282693.25+662367.12+10832840.9+52086.64</f>
        <v>25176977.270000003</v>
      </c>
      <c r="AJ692" s="30">
        <v>0</v>
      </c>
    </row>
    <row r="693" spans="1:36" ht="267.75" x14ac:dyDescent="0.25">
      <c r="A693" s="6">
        <v>690</v>
      </c>
      <c r="B693" s="31">
        <v>111319</v>
      </c>
      <c r="C693" s="11">
        <v>359</v>
      </c>
      <c r="D693" s="11" t="s">
        <v>143</v>
      </c>
      <c r="E693" s="24" t="s">
        <v>270</v>
      </c>
      <c r="F693" s="27" t="s">
        <v>464</v>
      </c>
      <c r="G693" s="27" t="s">
        <v>462</v>
      </c>
      <c r="H693" s="11" t="s">
        <v>465</v>
      </c>
      <c r="I693" s="12" t="s">
        <v>2934</v>
      </c>
      <c r="J693" s="25">
        <v>43256</v>
      </c>
      <c r="K693" s="25">
        <v>43866</v>
      </c>
      <c r="L693" s="26">
        <f t="shared" si="260"/>
        <v>82.304189744785745</v>
      </c>
      <c r="M693" s="11" t="s">
        <v>272</v>
      </c>
      <c r="N693" s="11" t="s">
        <v>361</v>
      </c>
      <c r="O693" s="11" t="s">
        <v>361</v>
      </c>
      <c r="P693" s="27" t="s">
        <v>274</v>
      </c>
      <c r="Q693" s="11" t="s">
        <v>34</v>
      </c>
      <c r="R693" s="2">
        <f t="shared" si="261"/>
        <v>822860.82000000007</v>
      </c>
      <c r="S693" s="2">
        <v>663565.56000000006</v>
      </c>
      <c r="T693" s="2">
        <v>159295.26</v>
      </c>
      <c r="U693" s="2">
        <f t="shared" si="265"/>
        <v>156923.62</v>
      </c>
      <c r="V693" s="28">
        <v>117099.8</v>
      </c>
      <c r="W693" s="28">
        <v>39823.82</v>
      </c>
      <c r="X693" s="2">
        <f t="shared" si="262"/>
        <v>0</v>
      </c>
      <c r="Y693" s="2">
        <v>0</v>
      </c>
      <c r="Z693" s="2">
        <v>0</v>
      </c>
      <c r="AA693" s="2">
        <f t="shared" si="263"/>
        <v>19995.55</v>
      </c>
      <c r="AB693" s="2">
        <v>15931.91</v>
      </c>
      <c r="AC693" s="2">
        <v>4063.64</v>
      </c>
      <c r="AD693" s="16">
        <f t="shared" si="259"/>
        <v>999779.99000000011</v>
      </c>
      <c r="AE693" s="2">
        <v>0</v>
      </c>
      <c r="AF693" s="2">
        <f t="shared" si="264"/>
        <v>999779.99000000011</v>
      </c>
      <c r="AG693" s="38" t="s">
        <v>1427</v>
      </c>
      <c r="AH693" s="29" t="s">
        <v>1384</v>
      </c>
      <c r="AI693" s="30">
        <v>789088.58</v>
      </c>
      <c r="AJ693" s="30">
        <v>150483.12000000002</v>
      </c>
    </row>
    <row r="694" spans="1:36" ht="409.5" x14ac:dyDescent="0.25">
      <c r="A694" s="6">
        <v>691</v>
      </c>
      <c r="B694" s="31">
        <v>111320</v>
      </c>
      <c r="C694" s="11">
        <v>132</v>
      </c>
      <c r="D694" s="11" t="s">
        <v>143</v>
      </c>
      <c r="E694" s="24" t="s">
        <v>270</v>
      </c>
      <c r="F694" s="27" t="s">
        <v>466</v>
      </c>
      <c r="G694" s="27" t="s">
        <v>467</v>
      </c>
      <c r="H694" s="8" t="s">
        <v>151</v>
      </c>
      <c r="I694" s="12" t="s">
        <v>468</v>
      </c>
      <c r="J694" s="25">
        <v>43258</v>
      </c>
      <c r="K694" s="25">
        <v>43745</v>
      </c>
      <c r="L694" s="26">
        <f t="shared" si="260"/>
        <v>82.304187069212688</v>
      </c>
      <c r="M694" s="11" t="s">
        <v>272</v>
      </c>
      <c r="N694" s="11" t="s">
        <v>261</v>
      </c>
      <c r="O694" s="11" t="s">
        <v>261</v>
      </c>
      <c r="P694" s="27" t="s">
        <v>274</v>
      </c>
      <c r="Q694" s="11" t="s">
        <v>34</v>
      </c>
      <c r="R694" s="2">
        <f t="shared" si="261"/>
        <v>745773.49</v>
      </c>
      <c r="S694" s="2">
        <v>601401.34</v>
      </c>
      <c r="T694" s="2">
        <v>144372.15</v>
      </c>
      <c r="U694" s="2">
        <f t="shared" si="265"/>
        <v>142222.68</v>
      </c>
      <c r="V694" s="28">
        <v>106129.65</v>
      </c>
      <c r="W694" s="28">
        <v>36093.03</v>
      </c>
      <c r="X694" s="2">
        <f t="shared" si="262"/>
        <v>0</v>
      </c>
      <c r="Y694" s="2">
        <v>0</v>
      </c>
      <c r="Z694" s="2">
        <v>0</v>
      </c>
      <c r="AA694" s="2">
        <f t="shared" si="263"/>
        <v>18122.36</v>
      </c>
      <c r="AB694" s="2">
        <v>14439.4</v>
      </c>
      <c r="AC694" s="2">
        <v>3682.96</v>
      </c>
      <c r="AD694" s="16">
        <f t="shared" si="259"/>
        <v>906118.52999999991</v>
      </c>
      <c r="AE694" s="2">
        <v>0</v>
      </c>
      <c r="AF694" s="2">
        <f t="shared" si="264"/>
        <v>906118.52999999991</v>
      </c>
      <c r="AG694" s="21" t="s">
        <v>857</v>
      </c>
      <c r="AH694" s="29"/>
      <c r="AI694" s="30">
        <f>592141.33+76026.28+52285.05</f>
        <v>720452.66</v>
      </c>
      <c r="AJ694" s="30">
        <f>23379.78+18253.47+17321.01+18762.68+17927.2+31778.72+9971.04</f>
        <v>137393.9</v>
      </c>
    </row>
    <row r="695" spans="1:36" ht="141.75" x14ac:dyDescent="0.25">
      <c r="A695" s="6">
        <v>692</v>
      </c>
      <c r="B695" s="31">
        <v>110527</v>
      </c>
      <c r="C695" s="11">
        <v>353</v>
      </c>
      <c r="D695" s="11" t="s">
        <v>143</v>
      </c>
      <c r="E695" s="24" t="s">
        <v>270</v>
      </c>
      <c r="F695" s="27" t="s">
        <v>469</v>
      </c>
      <c r="G695" s="27" t="s">
        <v>470</v>
      </c>
      <c r="H695" s="11" t="s">
        <v>471</v>
      </c>
      <c r="I695" s="12" t="s">
        <v>2935</v>
      </c>
      <c r="J695" s="25">
        <v>43258</v>
      </c>
      <c r="K695" s="25">
        <v>43745</v>
      </c>
      <c r="L695" s="26">
        <f t="shared" si="260"/>
        <v>82.304183804307399</v>
      </c>
      <c r="M695" s="11" t="s">
        <v>272</v>
      </c>
      <c r="N695" s="11" t="s">
        <v>261</v>
      </c>
      <c r="O695" s="11" t="s">
        <v>261</v>
      </c>
      <c r="P695" s="27" t="s">
        <v>274</v>
      </c>
      <c r="Q695" s="11" t="s">
        <v>34</v>
      </c>
      <c r="R695" s="2">
        <f t="shared" si="261"/>
        <v>797101.36999999988</v>
      </c>
      <c r="S695" s="2">
        <v>642792.81999999995</v>
      </c>
      <c r="T695" s="2">
        <v>154308.54999999999</v>
      </c>
      <c r="U695" s="2">
        <f t="shared" si="265"/>
        <v>152011.18</v>
      </c>
      <c r="V695" s="28">
        <v>113434.03</v>
      </c>
      <c r="W695" s="28">
        <v>38577.15</v>
      </c>
      <c r="X695" s="2">
        <f t="shared" si="262"/>
        <v>0</v>
      </c>
      <c r="Y695" s="2">
        <v>0</v>
      </c>
      <c r="Z695" s="2">
        <v>0</v>
      </c>
      <c r="AA695" s="2">
        <f t="shared" si="263"/>
        <v>19369.649999999998</v>
      </c>
      <c r="AB695" s="2">
        <v>15433.21</v>
      </c>
      <c r="AC695" s="2">
        <v>3936.44</v>
      </c>
      <c r="AD695" s="16">
        <f t="shared" si="259"/>
        <v>968482.19999999984</v>
      </c>
      <c r="AE695" s="2"/>
      <c r="AF695" s="2">
        <f t="shared" si="264"/>
        <v>968482.19999999984</v>
      </c>
      <c r="AG695" s="21" t="s">
        <v>857</v>
      </c>
      <c r="AH695" s="29"/>
      <c r="AI695" s="30">
        <f>151069.39+15306.08+96848.21+24994.02+61062.29+191670.85+146395.04</f>
        <v>687345.88</v>
      </c>
      <c r="AJ695" s="30">
        <f>10340.24+21388.37+4766.48+30114.35+18083.14+46387.73</f>
        <v>131080.31</v>
      </c>
    </row>
    <row r="696" spans="1:36" ht="157.5" x14ac:dyDescent="0.25">
      <c r="A696" s="6">
        <v>693</v>
      </c>
      <c r="B696" s="31">
        <v>112412</v>
      </c>
      <c r="C696" s="11">
        <v>269</v>
      </c>
      <c r="D696" s="11" t="s">
        <v>143</v>
      </c>
      <c r="E696" s="24" t="s">
        <v>270</v>
      </c>
      <c r="F696" s="27" t="s">
        <v>472</v>
      </c>
      <c r="G696" s="27" t="s">
        <v>473</v>
      </c>
      <c r="H696" s="11" t="s">
        <v>474</v>
      </c>
      <c r="I696" s="12" t="s">
        <v>2936</v>
      </c>
      <c r="J696" s="25">
        <v>43259</v>
      </c>
      <c r="K696" s="25">
        <v>43869</v>
      </c>
      <c r="L696" s="26">
        <f t="shared" si="260"/>
        <v>82.304183541065214</v>
      </c>
      <c r="M696" s="11" t="s">
        <v>272</v>
      </c>
      <c r="N696" s="11" t="s">
        <v>261</v>
      </c>
      <c r="O696" s="11" t="s">
        <v>261</v>
      </c>
      <c r="P696" s="27" t="s">
        <v>274</v>
      </c>
      <c r="Q696" s="11" t="s">
        <v>34</v>
      </c>
      <c r="R696" s="2">
        <f t="shared" si="261"/>
        <v>789670.74</v>
      </c>
      <c r="S696" s="2">
        <v>636800.65</v>
      </c>
      <c r="T696" s="2">
        <v>152870.09</v>
      </c>
      <c r="U696" s="2">
        <f t="shared" si="265"/>
        <v>150594.14000000001</v>
      </c>
      <c r="V696" s="28">
        <v>112376.61</v>
      </c>
      <c r="W696" s="28">
        <v>38217.53</v>
      </c>
      <c r="X696" s="2">
        <f t="shared" si="262"/>
        <v>0</v>
      </c>
      <c r="Y696" s="2">
        <v>0</v>
      </c>
      <c r="Z696" s="2">
        <v>0</v>
      </c>
      <c r="AA696" s="2">
        <f t="shared" si="263"/>
        <v>19189.07</v>
      </c>
      <c r="AB696" s="2">
        <v>15289.33</v>
      </c>
      <c r="AC696" s="2">
        <v>3899.74</v>
      </c>
      <c r="AD696" s="16">
        <f t="shared" si="259"/>
        <v>959453.95</v>
      </c>
      <c r="AE696" s="2"/>
      <c r="AF696" s="2">
        <f t="shared" si="264"/>
        <v>959453.95</v>
      </c>
      <c r="AG696" s="38" t="s">
        <v>1427</v>
      </c>
      <c r="AH696" s="29" t="s">
        <v>1296</v>
      </c>
      <c r="AI696" s="30">
        <f>95945.38+5019.44+25010.26+9763.75+114260.12+16124.2+16125.04+203494.65+30475.94+16453.44+90320.57+23005.98</f>
        <v>645998.77</v>
      </c>
      <c r="AJ696" s="30">
        <f>7941.36+4769.59+16667.83+3074.99+3075.12+38807.41+5811.93+3137.74+21791.13+18118.11</f>
        <v>123195.21000000002</v>
      </c>
    </row>
    <row r="697" spans="1:36" ht="378" x14ac:dyDescent="0.25">
      <c r="A697" s="6">
        <v>694</v>
      </c>
      <c r="B697" s="31">
        <v>113035</v>
      </c>
      <c r="C697" s="11">
        <v>332</v>
      </c>
      <c r="D697" s="11" t="s">
        <v>143</v>
      </c>
      <c r="E697" s="24" t="s">
        <v>270</v>
      </c>
      <c r="F697" s="27" t="s">
        <v>475</v>
      </c>
      <c r="G697" s="11" t="s">
        <v>476</v>
      </c>
      <c r="H697" s="8" t="s">
        <v>151</v>
      </c>
      <c r="I697" s="12" t="s">
        <v>2937</v>
      </c>
      <c r="J697" s="25">
        <v>43258</v>
      </c>
      <c r="K697" s="25">
        <v>43745</v>
      </c>
      <c r="L697" s="26">
        <f t="shared" si="260"/>
        <v>82.304190781814583</v>
      </c>
      <c r="M697" s="11" t="s">
        <v>272</v>
      </c>
      <c r="N697" s="11" t="s">
        <v>261</v>
      </c>
      <c r="O697" s="11" t="s">
        <v>261</v>
      </c>
      <c r="P697" s="27" t="s">
        <v>274</v>
      </c>
      <c r="Q697" s="11" t="s">
        <v>34</v>
      </c>
      <c r="R697" s="2">
        <f t="shared" si="261"/>
        <v>813615.64999999991</v>
      </c>
      <c r="S697" s="2">
        <v>656110.1</v>
      </c>
      <c r="T697" s="2">
        <v>157505.54999999999</v>
      </c>
      <c r="U697" s="2">
        <f t="shared" si="265"/>
        <v>155160.44</v>
      </c>
      <c r="V697" s="28">
        <v>115784.14</v>
      </c>
      <c r="W697" s="28">
        <v>39376.300000000003</v>
      </c>
      <c r="X697" s="2">
        <f t="shared" si="262"/>
        <v>0</v>
      </c>
      <c r="Y697" s="2">
        <v>0</v>
      </c>
      <c r="Z697" s="2">
        <v>0</v>
      </c>
      <c r="AA697" s="2">
        <f t="shared" si="263"/>
        <v>19770.96</v>
      </c>
      <c r="AB697" s="2">
        <v>15752.93</v>
      </c>
      <c r="AC697" s="2">
        <v>4018.03</v>
      </c>
      <c r="AD697" s="16">
        <f t="shared" si="259"/>
        <v>988547.04999999981</v>
      </c>
      <c r="AE697" s="2">
        <v>0</v>
      </c>
      <c r="AF697" s="2">
        <f t="shared" si="264"/>
        <v>988547.04999999981</v>
      </c>
      <c r="AG697" s="21" t="s">
        <v>857</v>
      </c>
      <c r="AH697" s="29" t="s">
        <v>1292</v>
      </c>
      <c r="AI697" s="30">
        <f>660984.49+9608.72+119843.6-177</f>
        <v>790259.80999999994</v>
      </c>
      <c r="AJ697" s="30">
        <f>107200.99+19833+22854.78+817.6</f>
        <v>150706.37000000002</v>
      </c>
    </row>
    <row r="698" spans="1:36" ht="252" x14ac:dyDescent="0.25">
      <c r="A698" s="6">
        <v>695</v>
      </c>
      <c r="B698" s="31">
        <v>112992</v>
      </c>
      <c r="C698" s="31">
        <v>233</v>
      </c>
      <c r="D698" s="11" t="s">
        <v>143</v>
      </c>
      <c r="E698" s="24" t="s">
        <v>270</v>
      </c>
      <c r="F698" s="67" t="s">
        <v>477</v>
      </c>
      <c r="G698" s="11" t="s">
        <v>478</v>
      </c>
      <c r="H698" s="8" t="s">
        <v>151</v>
      </c>
      <c r="I698" s="12" t="s">
        <v>2938</v>
      </c>
      <c r="J698" s="25">
        <v>43259</v>
      </c>
      <c r="K698" s="25">
        <v>43807</v>
      </c>
      <c r="L698" s="26">
        <f t="shared" si="260"/>
        <v>82.304185804634827</v>
      </c>
      <c r="M698" s="11" t="s">
        <v>272</v>
      </c>
      <c r="N698" s="11" t="s">
        <v>261</v>
      </c>
      <c r="O698" s="11" t="s">
        <v>261</v>
      </c>
      <c r="P698" s="27" t="s">
        <v>274</v>
      </c>
      <c r="Q698" s="11" t="s">
        <v>34</v>
      </c>
      <c r="R698" s="2">
        <f t="shared" si="261"/>
        <v>413202.42000000004</v>
      </c>
      <c r="S698" s="2">
        <v>333211.76</v>
      </c>
      <c r="T698" s="2">
        <v>79990.66</v>
      </c>
      <c r="U698" s="2">
        <f t="shared" si="265"/>
        <v>78799.740000000005</v>
      </c>
      <c r="V698" s="28">
        <v>58802.080000000002</v>
      </c>
      <c r="W698" s="28">
        <v>19997.66</v>
      </c>
      <c r="X698" s="2">
        <f t="shared" si="262"/>
        <v>0</v>
      </c>
      <c r="Y698" s="2">
        <v>0</v>
      </c>
      <c r="Z698" s="2">
        <v>0</v>
      </c>
      <c r="AA698" s="2">
        <f t="shared" si="263"/>
        <v>10040.86</v>
      </c>
      <c r="AB698" s="2">
        <v>8000.27</v>
      </c>
      <c r="AC698" s="2">
        <v>2040.59</v>
      </c>
      <c r="AD698" s="16">
        <f t="shared" si="259"/>
        <v>502043.02</v>
      </c>
      <c r="AE698" s="2">
        <v>96.29</v>
      </c>
      <c r="AF698" s="2">
        <f t="shared" si="264"/>
        <v>502139.31</v>
      </c>
      <c r="AG698" s="21" t="s">
        <v>857</v>
      </c>
      <c r="AH698" s="29" t="s">
        <v>1280</v>
      </c>
      <c r="AI698" s="30">
        <f>288667.07+18246.61+35182-18201.37</f>
        <v>323894.31</v>
      </c>
      <c r="AJ698" s="30">
        <f>45476.06+13053.86+3238.27</f>
        <v>61768.189999999995</v>
      </c>
    </row>
    <row r="699" spans="1:36" ht="173.25" x14ac:dyDescent="0.25">
      <c r="A699" s="6">
        <v>696</v>
      </c>
      <c r="B699" s="31">
        <v>109834</v>
      </c>
      <c r="C699" s="31">
        <v>202</v>
      </c>
      <c r="D699" s="11" t="s">
        <v>143</v>
      </c>
      <c r="E699" s="24" t="s">
        <v>270</v>
      </c>
      <c r="F699" s="67" t="s">
        <v>1900</v>
      </c>
      <c r="G699" s="11" t="s">
        <v>482</v>
      </c>
      <c r="H699" s="8" t="s">
        <v>151</v>
      </c>
      <c r="I699" s="12" t="s">
        <v>2939</v>
      </c>
      <c r="J699" s="25">
        <v>43264</v>
      </c>
      <c r="K699" s="25">
        <v>43751</v>
      </c>
      <c r="L699" s="26">
        <f t="shared" si="260"/>
        <v>82.304183375849476</v>
      </c>
      <c r="M699" s="11" t="s">
        <v>272</v>
      </c>
      <c r="N699" s="11" t="s">
        <v>261</v>
      </c>
      <c r="O699" s="11" t="s">
        <v>261</v>
      </c>
      <c r="P699" s="27" t="s">
        <v>274</v>
      </c>
      <c r="Q699" s="11" t="s">
        <v>34</v>
      </c>
      <c r="R699" s="2">
        <f t="shared" si="261"/>
        <v>756907.55</v>
      </c>
      <c r="S699" s="2">
        <v>610380.03</v>
      </c>
      <c r="T699" s="2">
        <v>146527.51999999999</v>
      </c>
      <c r="U699" s="2">
        <f t="shared" si="265"/>
        <v>144346.04</v>
      </c>
      <c r="V699" s="28">
        <v>107714.13</v>
      </c>
      <c r="W699" s="28">
        <v>36631.910000000003</v>
      </c>
      <c r="X699" s="2">
        <f t="shared" si="262"/>
        <v>0</v>
      </c>
      <c r="Y699" s="2">
        <v>0</v>
      </c>
      <c r="Z699" s="2">
        <v>0</v>
      </c>
      <c r="AA699" s="2">
        <f t="shared" si="263"/>
        <v>18392.919999999998</v>
      </c>
      <c r="AB699" s="2">
        <v>14654.96</v>
      </c>
      <c r="AC699" s="2">
        <v>3737.96</v>
      </c>
      <c r="AD699" s="16">
        <f t="shared" si="259"/>
        <v>919646.51000000013</v>
      </c>
      <c r="AE699" s="2">
        <v>0</v>
      </c>
      <c r="AF699" s="2">
        <f t="shared" si="264"/>
        <v>919646.51000000013</v>
      </c>
      <c r="AG699" s="21" t="s">
        <v>857</v>
      </c>
      <c r="AH699" s="29" t="s">
        <v>1274</v>
      </c>
      <c r="AI699" s="30">
        <f>563280.08+150291.55-17456.57</f>
        <v>696115.05999999994</v>
      </c>
      <c r="AJ699" s="30">
        <f>103044.14+15874.06+13834.42</f>
        <v>132752.62</v>
      </c>
    </row>
    <row r="700" spans="1:36" ht="267.75" x14ac:dyDescent="0.25">
      <c r="A700" s="6">
        <v>697</v>
      </c>
      <c r="B700" s="31">
        <v>111613</v>
      </c>
      <c r="C700" s="31">
        <v>289</v>
      </c>
      <c r="D700" s="11" t="s">
        <v>143</v>
      </c>
      <c r="E700" s="24" t="s">
        <v>270</v>
      </c>
      <c r="F700" s="67" t="s">
        <v>1901</v>
      </c>
      <c r="G700" s="11" t="s">
        <v>483</v>
      </c>
      <c r="H700" s="11" t="s">
        <v>484</v>
      </c>
      <c r="I700" s="12" t="s">
        <v>2940</v>
      </c>
      <c r="J700" s="25">
        <v>43264</v>
      </c>
      <c r="K700" s="25">
        <v>43751</v>
      </c>
      <c r="L700" s="26">
        <f t="shared" si="260"/>
        <v>82.304185024184278</v>
      </c>
      <c r="M700" s="11" t="s">
        <v>272</v>
      </c>
      <c r="N700" s="11" t="s">
        <v>485</v>
      </c>
      <c r="O700" s="11" t="s">
        <v>485</v>
      </c>
      <c r="P700" s="27" t="s">
        <v>274</v>
      </c>
      <c r="Q700" s="11" t="s">
        <v>34</v>
      </c>
      <c r="R700" s="2">
        <f t="shared" si="261"/>
        <v>790560.66</v>
      </c>
      <c r="S700" s="2">
        <v>637518.30000000005</v>
      </c>
      <c r="T700" s="2">
        <v>153042.35999999999</v>
      </c>
      <c r="U700" s="2">
        <f t="shared" si="265"/>
        <v>150763.83000000002</v>
      </c>
      <c r="V700" s="28">
        <v>112503.22</v>
      </c>
      <c r="W700" s="28">
        <v>38260.61</v>
      </c>
      <c r="X700" s="2">
        <v>0</v>
      </c>
      <c r="Y700" s="2">
        <v>0</v>
      </c>
      <c r="Z700" s="2">
        <v>0</v>
      </c>
      <c r="AA700" s="2">
        <f t="shared" si="263"/>
        <v>19210.7</v>
      </c>
      <c r="AB700" s="2">
        <v>15306.57</v>
      </c>
      <c r="AC700" s="2">
        <v>3904.13</v>
      </c>
      <c r="AD700" s="16">
        <f t="shared" si="259"/>
        <v>960535.19</v>
      </c>
      <c r="AE700" s="2">
        <v>67830</v>
      </c>
      <c r="AF700" s="2">
        <f t="shared" si="264"/>
        <v>1028365.19</v>
      </c>
      <c r="AG700" s="21" t="s">
        <v>857</v>
      </c>
      <c r="AH700" s="29" t="s">
        <v>358</v>
      </c>
      <c r="AI700" s="30">
        <f>601578.5+85673.04+17171.08</f>
        <v>704422.62</v>
      </c>
      <c r="AJ700" s="30">
        <f>96406.11+16338.28+21592.49</f>
        <v>134336.88</v>
      </c>
    </row>
    <row r="701" spans="1:36" ht="173.25" x14ac:dyDescent="0.25">
      <c r="A701" s="6">
        <v>698</v>
      </c>
      <c r="B701" s="31">
        <v>112219</v>
      </c>
      <c r="C701" s="31">
        <v>274</v>
      </c>
      <c r="D701" s="11" t="s">
        <v>143</v>
      </c>
      <c r="E701" s="24" t="s">
        <v>270</v>
      </c>
      <c r="F701" s="27" t="s">
        <v>490</v>
      </c>
      <c r="G701" s="11" t="s">
        <v>491</v>
      </c>
      <c r="H701" s="11" t="s">
        <v>492</v>
      </c>
      <c r="I701" s="12" t="s">
        <v>495</v>
      </c>
      <c r="J701" s="25">
        <v>43262</v>
      </c>
      <c r="K701" s="25">
        <v>43749</v>
      </c>
      <c r="L701" s="26">
        <f t="shared" si="260"/>
        <v>82.304180101214385</v>
      </c>
      <c r="M701" s="11" t="s">
        <v>272</v>
      </c>
      <c r="N701" s="11" t="s">
        <v>493</v>
      </c>
      <c r="O701" s="11" t="s">
        <v>494</v>
      </c>
      <c r="P701" s="27" t="s">
        <v>274</v>
      </c>
      <c r="Q701" s="11" t="s">
        <v>34</v>
      </c>
      <c r="R701" s="2">
        <f t="shared" ref="R701:R718" si="266">S701+T701</f>
        <v>796246.49</v>
      </c>
      <c r="S701" s="2">
        <v>642103.43000000005</v>
      </c>
      <c r="T701" s="2">
        <v>154143.06</v>
      </c>
      <c r="U701" s="2">
        <f t="shared" si="265"/>
        <v>151848.19</v>
      </c>
      <c r="V701" s="28">
        <v>113312.41</v>
      </c>
      <c r="W701" s="28">
        <v>38535.78</v>
      </c>
      <c r="X701" s="2">
        <f t="shared" ref="X701:X731" si="267">Y701+Z701</f>
        <v>0</v>
      </c>
      <c r="Y701" s="2">
        <v>0</v>
      </c>
      <c r="Z701" s="2">
        <v>0</v>
      </c>
      <c r="AA701" s="2">
        <f t="shared" ref="AA701:AA731" si="268">AB701+AC701</f>
        <v>19348.88</v>
      </c>
      <c r="AB701" s="2">
        <v>15416.65</v>
      </c>
      <c r="AC701" s="2">
        <v>3932.23</v>
      </c>
      <c r="AD701" s="16">
        <f t="shared" si="259"/>
        <v>967443.55999999994</v>
      </c>
      <c r="AE701" s="2"/>
      <c r="AF701" s="2">
        <f t="shared" ref="AF701:AF731" si="269">AD701+AE701</f>
        <v>967443.55999999994</v>
      </c>
      <c r="AG701" s="21" t="s">
        <v>857</v>
      </c>
      <c r="AH701" s="29" t="s">
        <v>1284</v>
      </c>
      <c r="AI701" s="30">
        <f>191558.95+82810.85-11941.24+189135.5-9602.09+179531.24+112002.06-2148.73+7719.83</f>
        <v>739066.37</v>
      </c>
      <c r="AJ701" s="30">
        <f>18065.03+15792.44+11941.24+3307.22+18543.36+15614.11+16792.23+39159.49+1728.5</f>
        <v>140943.62</v>
      </c>
    </row>
    <row r="702" spans="1:36" ht="141.75" x14ac:dyDescent="0.25">
      <c r="A702" s="6">
        <v>699</v>
      </c>
      <c r="B702" s="31">
        <v>111981</v>
      </c>
      <c r="C702" s="31">
        <v>264</v>
      </c>
      <c r="D702" s="11" t="s">
        <v>143</v>
      </c>
      <c r="E702" s="24" t="s">
        <v>270</v>
      </c>
      <c r="F702" s="27" t="s">
        <v>496</v>
      </c>
      <c r="G702" s="11" t="s">
        <v>497</v>
      </c>
      <c r="H702" s="11" t="s">
        <v>498</v>
      </c>
      <c r="I702" s="12" t="s">
        <v>2941</v>
      </c>
      <c r="J702" s="25">
        <v>43264</v>
      </c>
      <c r="K702" s="25">
        <v>43874</v>
      </c>
      <c r="L702" s="26">
        <f t="shared" si="260"/>
        <v>82.304187524210803</v>
      </c>
      <c r="M702" s="11" t="s">
        <v>272</v>
      </c>
      <c r="N702" s="11" t="s">
        <v>499</v>
      </c>
      <c r="O702" s="11" t="s">
        <v>357</v>
      </c>
      <c r="P702" s="27" t="s">
        <v>274</v>
      </c>
      <c r="Q702" s="11" t="s">
        <v>34</v>
      </c>
      <c r="R702" s="2">
        <f t="shared" si="266"/>
        <v>771066.18</v>
      </c>
      <c r="S702" s="2">
        <v>621797.65</v>
      </c>
      <c r="T702" s="2">
        <v>149268.53</v>
      </c>
      <c r="U702" s="2">
        <f t="shared" si="265"/>
        <v>147046.1</v>
      </c>
      <c r="V702" s="28">
        <v>109729</v>
      </c>
      <c r="W702" s="28">
        <v>37317.1</v>
      </c>
      <c r="X702" s="2">
        <f t="shared" si="267"/>
        <v>0</v>
      </c>
      <c r="Y702" s="2">
        <v>0</v>
      </c>
      <c r="Z702" s="2">
        <v>0</v>
      </c>
      <c r="AA702" s="2">
        <f t="shared" si="268"/>
        <v>18736.989999999998</v>
      </c>
      <c r="AB702" s="2">
        <v>14929.14</v>
      </c>
      <c r="AC702" s="2">
        <v>3807.85</v>
      </c>
      <c r="AD702" s="16">
        <f t="shared" si="259"/>
        <v>936849.27</v>
      </c>
      <c r="AE702" s="2"/>
      <c r="AF702" s="2">
        <f t="shared" si="269"/>
        <v>936849.27</v>
      </c>
      <c r="AG702" s="38" t="s">
        <v>1427</v>
      </c>
      <c r="AH702" s="29" t="s">
        <v>1392</v>
      </c>
      <c r="AI702" s="30">
        <f>627878.85+15145.61+1697.71+43882.89+21028.71</f>
        <v>709633.7699999999</v>
      </c>
      <c r="AJ702" s="30">
        <f>105047.04+2888.35+12346.51+11038.55+4010.29</f>
        <v>135330.74</v>
      </c>
    </row>
    <row r="703" spans="1:36" ht="252" x14ac:dyDescent="0.25">
      <c r="A703" s="6">
        <v>700</v>
      </c>
      <c r="B703" s="31">
        <v>113037</v>
      </c>
      <c r="C703" s="31">
        <v>280</v>
      </c>
      <c r="D703" s="11" t="s">
        <v>143</v>
      </c>
      <c r="E703" s="24" t="s">
        <v>270</v>
      </c>
      <c r="F703" s="27" t="s">
        <v>511</v>
      </c>
      <c r="G703" s="11" t="s">
        <v>509</v>
      </c>
      <c r="H703" s="11" t="s">
        <v>510</v>
      </c>
      <c r="I703" s="12" t="s">
        <v>2942</v>
      </c>
      <c r="J703" s="25">
        <v>43269</v>
      </c>
      <c r="K703" s="25">
        <v>43756</v>
      </c>
      <c r="L703" s="26">
        <f t="shared" si="260"/>
        <v>82.304185659324261</v>
      </c>
      <c r="M703" s="11" t="s">
        <v>272</v>
      </c>
      <c r="N703" s="11" t="s">
        <v>261</v>
      </c>
      <c r="O703" s="11" t="s">
        <v>261</v>
      </c>
      <c r="P703" s="27" t="s">
        <v>274</v>
      </c>
      <c r="Q703" s="11" t="s">
        <v>34</v>
      </c>
      <c r="R703" s="2">
        <f t="shared" si="266"/>
        <v>812766.5</v>
      </c>
      <c r="S703" s="2">
        <v>655425.36</v>
      </c>
      <c r="T703" s="2">
        <v>157341.14000000001</v>
      </c>
      <c r="U703" s="2">
        <f t="shared" si="265"/>
        <v>154998.59</v>
      </c>
      <c r="V703" s="28">
        <v>115663.31</v>
      </c>
      <c r="W703" s="28">
        <v>39335.279999999999</v>
      </c>
      <c r="X703" s="2">
        <f t="shared" si="267"/>
        <v>0</v>
      </c>
      <c r="Y703" s="2">
        <v>0</v>
      </c>
      <c r="Z703" s="2">
        <v>0</v>
      </c>
      <c r="AA703" s="2">
        <f t="shared" si="268"/>
        <v>19750.3</v>
      </c>
      <c r="AB703" s="2">
        <v>15736.51</v>
      </c>
      <c r="AC703" s="2">
        <v>4013.79</v>
      </c>
      <c r="AD703" s="16">
        <f t="shared" si="259"/>
        <v>987515.39</v>
      </c>
      <c r="AE703" s="2"/>
      <c r="AF703" s="2">
        <f t="shared" si="269"/>
        <v>987515.39</v>
      </c>
      <c r="AG703" s="21" t="s">
        <v>857</v>
      </c>
      <c r="AH703" s="29" t="s">
        <v>358</v>
      </c>
      <c r="AI703" s="30">
        <f>453689.55+62401.05+231922.17+8071.09</f>
        <v>756083.86</v>
      </c>
      <c r="AJ703" s="30">
        <f>14547.96+18386.23+14448.94+20305.31+30732.58+44228.7+1539.2</f>
        <v>144188.92000000001</v>
      </c>
    </row>
    <row r="704" spans="1:36" ht="220.5" x14ac:dyDescent="0.25">
      <c r="A704" s="6">
        <v>701</v>
      </c>
      <c r="B704" s="31">
        <v>126354</v>
      </c>
      <c r="C704" s="31">
        <v>491</v>
      </c>
      <c r="D704" s="97" t="s">
        <v>1640</v>
      </c>
      <c r="E704" s="32" t="s">
        <v>983</v>
      </c>
      <c r="F704" s="11" t="s">
        <v>982</v>
      </c>
      <c r="G704" s="11" t="s">
        <v>981</v>
      </c>
      <c r="H704" s="8" t="s">
        <v>151</v>
      </c>
      <c r="I704" s="32" t="s">
        <v>2943</v>
      </c>
      <c r="J704" s="25">
        <v>43515</v>
      </c>
      <c r="K704" s="25">
        <v>44396</v>
      </c>
      <c r="L704" s="26">
        <f t="shared" si="260"/>
        <v>83.300000282457262</v>
      </c>
      <c r="M704" s="11" t="s">
        <v>991</v>
      </c>
      <c r="N704" s="11" t="s">
        <v>990</v>
      </c>
      <c r="O704" s="11" t="s">
        <v>990</v>
      </c>
      <c r="P704" s="11" t="s">
        <v>274</v>
      </c>
      <c r="Q704" s="11" t="s">
        <v>34</v>
      </c>
      <c r="R704" s="30">
        <f t="shared" si="266"/>
        <v>2064383.09</v>
      </c>
      <c r="S704" s="30">
        <v>2064383.09</v>
      </c>
      <c r="T704" s="41">
        <v>0</v>
      </c>
      <c r="U704" s="30">
        <f t="shared" si="265"/>
        <v>364302.89</v>
      </c>
      <c r="V704" s="42">
        <v>364302.89</v>
      </c>
      <c r="W704" s="42">
        <v>0</v>
      </c>
      <c r="X704" s="30">
        <f t="shared" si="267"/>
        <v>0</v>
      </c>
      <c r="Y704" s="30">
        <v>0</v>
      </c>
      <c r="Z704" s="30">
        <v>0</v>
      </c>
      <c r="AA704" s="2">
        <f t="shared" si="268"/>
        <v>49565.02</v>
      </c>
      <c r="AB704" s="2">
        <v>49565.02</v>
      </c>
      <c r="AC704" s="2">
        <v>0</v>
      </c>
      <c r="AD704" s="16">
        <f t="shared" si="259"/>
        <v>2478251</v>
      </c>
      <c r="AE704" s="2">
        <v>0</v>
      </c>
      <c r="AF704" s="2">
        <f t="shared" si="269"/>
        <v>2478251</v>
      </c>
      <c r="AG704" s="38" t="s">
        <v>857</v>
      </c>
      <c r="AH704" s="38" t="s">
        <v>1723</v>
      </c>
      <c r="AI704" s="30">
        <f>1316864.99+240073.95+240073.95-7751.05+247825+5003.81+17027.71</f>
        <v>2059118.3599999999</v>
      </c>
      <c r="AJ704" s="30">
        <f>188653.99+42365.98+42365.98+42365.98+35793.35+11828.41</f>
        <v>363373.68999999994</v>
      </c>
    </row>
    <row r="705" spans="1:109" ht="220.5" x14ac:dyDescent="0.25">
      <c r="A705" s="6">
        <v>702</v>
      </c>
      <c r="B705" s="31">
        <v>125435</v>
      </c>
      <c r="C705" s="31">
        <v>493</v>
      </c>
      <c r="D705" s="97" t="s">
        <v>1640</v>
      </c>
      <c r="E705" s="32" t="s">
        <v>983</v>
      </c>
      <c r="F705" s="31" t="s">
        <v>1000</v>
      </c>
      <c r="G705" s="11" t="s">
        <v>1001</v>
      </c>
      <c r="H705" s="8" t="s">
        <v>151</v>
      </c>
      <c r="I705" s="46" t="s">
        <v>1002</v>
      </c>
      <c r="J705" s="25">
        <v>43531</v>
      </c>
      <c r="K705" s="25">
        <v>44234</v>
      </c>
      <c r="L705" s="26">
        <f t="shared" si="260"/>
        <v>83.300000892581892</v>
      </c>
      <c r="M705" s="11" t="s">
        <v>1003</v>
      </c>
      <c r="N705" s="11" t="s">
        <v>1004</v>
      </c>
      <c r="O705" s="11" t="s">
        <v>1004</v>
      </c>
      <c r="P705" s="11" t="s">
        <v>274</v>
      </c>
      <c r="Q705" s="11" t="s">
        <v>34</v>
      </c>
      <c r="R705" s="30">
        <f t="shared" si="266"/>
        <v>1523993.4999999998</v>
      </c>
      <c r="S705" s="2">
        <v>1523993.4999999998</v>
      </c>
      <c r="T705" s="2">
        <v>0</v>
      </c>
      <c r="U705" s="30">
        <f t="shared" si="265"/>
        <v>268940.00999999995</v>
      </c>
      <c r="V705" s="28">
        <v>268940.00999999995</v>
      </c>
      <c r="W705" s="28">
        <v>0</v>
      </c>
      <c r="X705" s="30">
        <f t="shared" si="267"/>
        <v>0</v>
      </c>
      <c r="Y705" s="2">
        <v>0</v>
      </c>
      <c r="Z705" s="2">
        <v>0</v>
      </c>
      <c r="AA705" s="2">
        <f t="shared" si="268"/>
        <v>36590.48000000001</v>
      </c>
      <c r="AB705" s="2">
        <v>36590.48000000001</v>
      </c>
      <c r="AC705" s="2">
        <v>0</v>
      </c>
      <c r="AD705" s="16">
        <f t="shared" si="259"/>
        <v>1829523.9899999998</v>
      </c>
      <c r="AE705" s="2">
        <v>0</v>
      </c>
      <c r="AF705" s="2">
        <f t="shared" si="269"/>
        <v>1829523.9899999998</v>
      </c>
      <c r="AG705" s="38" t="s">
        <v>857</v>
      </c>
      <c r="AH705" s="29" t="s">
        <v>1665</v>
      </c>
      <c r="AI705" s="30">
        <f>288486.99+139941.28-7379.3+112722.77-19340.45+128936.28+106270.05+79760.38-62350.07</f>
        <v>767047.93</v>
      </c>
      <c r="AJ705" s="30">
        <f>14309.49+24483.75+7379.3+10963.67+19340.45+23526.72+14075.36+21282.69</f>
        <v>135361.43</v>
      </c>
      <c r="AK705" s="43"/>
      <c r="AL705" s="43"/>
      <c r="AM705" s="43"/>
      <c r="AN705" s="43"/>
      <c r="AO705" s="43"/>
      <c r="AP705" s="43"/>
      <c r="AQ705" s="43"/>
      <c r="AR705" s="43"/>
      <c r="AS705" s="43"/>
      <c r="AT705" s="43"/>
      <c r="AU705" s="43"/>
      <c r="AV705" s="43"/>
      <c r="AW705" s="43"/>
      <c r="AX705" s="43"/>
      <c r="AY705" s="43"/>
      <c r="AZ705" s="43"/>
      <c r="BA705" s="43"/>
      <c r="BB705" s="43"/>
      <c r="BC705" s="43"/>
      <c r="BD705" s="43"/>
      <c r="BE705" s="43"/>
      <c r="BF705" s="43"/>
      <c r="BG705" s="43"/>
      <c r="BH705" s="43"/>
      <c r="BI705" s="43"/>
      <c r="BJ705" s="43"/>
      <c r="BK705" s="43"/>
      <c r="BL705" s="43"/>
      <c r="BM705" s="43"/>
      <c r="BN705" s="43"/>
      <c r="BO705" s="43"/>
      <c r="BP705" s="43"/>
      <c r="BQ705" s="43"/>
      <c r="BR705" s="43"/>
      <c r="BS705" s="43"/>
      <c r="BT705" s="43"/>
      <c r="BU705" s="43"/>
      <c r="BV705" s="43"/>
      <c r="BW705" s="43"/>
      <c r="BX705" s="43"/>
      <c r="BY705" s="43"/>
      <c r="BZ705" s="43"/>
      <c r="CA705" s="43"/>
      <c r="CB705" s="43"/>
      <c r="CC705" s="43"/>
      <c r="CD705" s="43"/>
      <c r="CE705" s="43"/>
      <c r="CF705" s="43"/>
      <c r="CG705" s="43"/>
      <c r="CH705" s="43"/>
      <c r="CI705" s="43"/>
      <c r="CJ705" s="43"/>
      <c r="CK705" s="43"/>
      <c r="CL705" s="43"/>
      <c r="CM705" s="43"/>
      <c r="CN705" s="43"/>
      <c r="CO705" s="43"/>
      <c r="CP705" s="43"/>
      <c r="CQ705" s="43"/>
      <c r="CR705" s="43"/>
      <c r="CS705" s="43"/>
      <c r="CT705" s="43"/>
      <c r="CU705" s="43"/>
      <c r="CV705" s="43"/>
      <c r="CW705" s="43"/>
      <c r="CX705" s="43"/>
      <c r="CY705" s="43"/>
      <c r="CZ705" s="43"/>
      <c r="DA705" s="43"/>
      <c r="DB705" s="43"/>
      <c r="DC705" s="43"/>
      <c r="DD705" s="43"/>
      <c r="DE705" s="43"/>
    </row>
    <row r="706" spans="1:109" ht="141.75" x14ac:dyDescent="0.25">
      <c r="A706" s="6">
        <v>703</v>
      </c>
      <c r="B706" s="31">
        <v>111409</v>
      </c>
      <c r="C706" s="31">
        <v>193</v>
      </c>
      <c r="D706" s="11" t="s">
        <v>143</v>
      </c>
      <c r="E706" s="24" t="s">
        <v>270</v>
      </c>
      <c r="F706" s="67" t="s">
        <v>522</v>
      </c>
      <c r="G706" s="11" t="s">
        <v>521</v>
      </c>
      <c r="H706" s="8" t="s">
        <v>151</v>
      </c>
      <c r="I706" s="12" t="s">
        <v>2944</v>
      </c>
      <c r="J706" s="25">
        <v>43271</v>
      </c>
      <c r="K706" s="25">
        <v>43819</v>
      </c>
      <c r="L706" s="26">
        <f t="shared" si="260"/>
        <v>82.304192821223239</v>
      </c>
      <c r="M706" s="11" t="s">
        <v>272</v>
      </c>
      <c r="N706" s="11" t="s">
        <v>261</v>
      </c>
      <c r="O706" s="11" t="s">
        <v>261</v>
      </c>
      <c r="P706" s="27" t="s">
        <v>274</v>
      </c>
      <c r="Q706" s="11" t="s">
        <v>34</v>
      </c>
      <c r="R706" s="158">
        <f t="shared" si="266"/>
        <v>813056.8</v>
      </c>
      <c r="S706" s="2">
        <v>655659.42000000004</v>
      </c>
      <c r="T706" s="2">
        <v>157397.38</v>
      </c>
      <c r="U706" s="2">
        <f t="shared" si="265"/>
        <v>155053.86000000002</v>
      </c>
      <c r="V706" s="28">
        <v>115704.6</v>
      </c>
      <c r="W706" s="28">
        <v>39349.26</v>
      </c>
      <c r="X706" s="2">
        <f t="shared" si="267"/>
        <v>0</v>
      </c>
      <c r="Y706" s="2">
        <v>0</v>
      </c>
      <c r="Z706" s="2">
        <v>0</v>
      </c>
      <c r="AA706" s="2">
        <f t="shared" si="268"/>
        <v>19757.36</v>
      </c>
      <c r="AB706" s="2">
        <v>15742.12</v>
      </c>
      <c r="AC706" s="2">
        <v>4015.24</v>
      </c>
      <c r="AD706" s="16">
        <f t="shared" si="259"/>
        <v>987868.02</v>
      </c>
      <c r="AE706" s="2">
        <v>0</v>
      </c>
      <c r="AF706" s="2">
        <f t="shared" si="269"/>
        <v>987868.02</v>
      </c>
      <c r="AG706" s="38" t="s">
        <v>857</v>
      </c>
      <c r="AH706" s="29" t="s">
        <v>1286</v>
      </c>
      <c r="AI706" s="30">
        <f>794317.39-32626.91</f>
        <v>761690.48</v>
      </c>
      <c r="AJ706" s="30">
        <f>142402.74+2855.49</f>
        <v>145258.22999999998</v>
      </c>
    </row>
    <row r="707" spans="1:109" ht="141.75" x14ac:dyDescent="0.25">
      <c r="A707" s="6">
        <v>704</v>
      </c>
      <c r="B707" s="31">
        <v>118676</v>
      </c>
      <c r="C707" s="31">
        <v>432</v>
      </c>
      <c r="D707" s="32" t="s">
        <v>1639</v>
      </c>
      <c r="E707" s="24" t="s">
        <v>523</v>
      </c>
      <c r="F707" s="67" t="s">
        <v>524</v>
      </c>
      <c r="G707" s="11" t="s">
        <v>525</v>
      </c>
      <c r="H707" s="11" t="s">
        <v>526</v>
      </c>
      <c r="I707" s="12" t="s">
        <v>527</v>
      </c>
      <c r="J707" s="25">
        <v>43270</v>
      </c>
      <c r="K707" s="25">
        <v>44123</v>
      </c>
      <c r="L707" s="26">
        <f t="shared" si="260"/>
        <v>83.983865028301139</v>
      </c>
      <c r="M707" s="11" t="s">
        <v>272</v>
      </c>
      <c r="N707" s="11" t="s">
        <v>261</v>
      </c>
      <c r="O707" s="11" t="s">
        <v>261</v>
      </c>
      <c r="P707" s="27" t="s">
        <v>138</v>
      </c>
      <c r="Q707" s="11" t="s">
        <v>34</v>
      </c>
      <c r="R707" s="2">
        <f t="shared" si="266"/>
        <v>3030823.99</v>
      </c>
      <c r="S707" s="2">
        <v>2444095.48</v>
      </c>
      <c r="T707" s="2">
        <v>586728.51</v>
      </c>
      <c r="U707" s="2">
        <f t="shared" si="265"/>
        <v>0</v>
      </c>
      <c r="V707" s="28"/>
      <c r="W707" s="28"/>
      <c r="X707" s="2">
        <f t="shared" si="267"/>
        <v>577993</v>
      </c>
      <c r="Y707" s="2">
        <v>431310.9</v>
      </c>
      <c r="Z707" s="2">
        <v>146682.1</v>
      </c>
      <c r="AA707" s="2">
        <f t="shared" si="268"/>
        <v>0</v>
      </c>
      <c r="AB707" s="2">
        <v>0</v>
      </c>
      <c r="AC707" s="2">
        <v>0</v>
      </c>
      <c r="AD707" s="16">
        <f t="shared" si="259"/>
        <v>3608816.99</v>
      </c>
      <c r="AE707" s="2">
        <v>0</v>
      </c>
      <c r="AF707" s="2">
        <f t="shared" si="269"/>
        <v>3608816.99</v>
      </c>
      <c r="AG707" s="38" t="s">
        <v>857</v>
      </c>
      <c r="AH707" s="29" t="s">
        <v>1467</v>
      </c>
      <c r="AI707" s="30">
        <f>43102.2+366371.99+199.89+120510.92+225498.13+197283.1+424052.29+106695.85+434818.86+188984.59+142063.67+503037.01</f>
        <v>2752618.5</v>
      </c>
      <c r="AJ707" s="30">
        <v>0</v>
      </c>
    </row>
    <row r="708" spans="1:109" ht="323.25" customHeight="1" x14ac:dyDescent="0.25">
      <c r="A708" s="6">
        <v>705</v>
      </c>
      <c r="B708" s="31">
        <v>111610</v>
      </c>
      <c r="C708" s="31">
        <v>374</v>
      </c>
      <c r="D708" s="97" t="s">
        <v>1640</v>
      </c>
      <c r="E708" s="24" t="s">
        <v>528</v>
      </c>
      <c r="F708" s="67" t="s">
        <v>530</v>
      </c>
      <c r="G708" s="11" t="s">
        <v>529</v>
      </c>
      <c r="H708" s="11" t="s">
        <v>531</v>
      </c>
      <c r="I708" s="12" t="s">
        <v>534</v>
      </c>
      <c r="J708" s="25">
        <v>43272</v>
      </c>
      <c r="K708" s="25">
        <v>43820</v>
      </c>
      <c r="L708" s="26">
        <f t="shared" si="260"/>
        <v>82.304187026365071</v>
      </c>
      <c r="M708" s="11" t="s">
        <v>272</v>
      </c>
      <c r="N708" s="11" t="s">
        <v>261</v>
      </c>
      <c r="O708" s="11" t="s">
        <v>261</v>
      </c>
      <c r="P708" s="27" t="s">
        <v>274</v>
      </c>
      <c r="Q708" s="11" t="s">
        <v>34</v>
      </c>
      <c r="R708" s="2">
        <f t="shared" si="266"/>
        <v>3413208.43</v>
      </c>
      <c r="S708" s="2">
        <v>2752455.22</v>
      </c>
      <c r="T708" s="2">
        <v>660753.21</v>
      </c>
      <c r="U708" s="2">
        <f t="shared" si="265"/>
        <v>650915.57999999996</v>
      </c>
      <c r="V708" s="28">
        <v>485727.31</v>
      </c>
      <c r="W708" s="28">
        <v>165188.26999999999</v>
      </c>
      <c r="X708" s="2">
        <f t="shared" si="267"/>
        <v>0</v>
      </c>
      <c r="Y708" s="2">
        <v>0</v>
      </c>
      <c r="Z708" s="2">
        <v>0</v>
      </c>
      <c r="AA708" s="2">
        <f t="shared" si="268"/>
        <v>82941.350000000006</v>
      </c>
      <c r="AB708" s="2">
        <v>66085.38</v>
      </c>
      <c r="AC708" s="2">
        <v>16855.97</v>
      </c>
      <c r="AD708" s="16">
        <f t="shared" si="259"/>
        <v>4147065.3600000003</v>
      </c>
      <c r="AE708" s="2">
        <v>0</v>
      </c>
      <c r="AF708" s="2">
        <f t="shared" si="269"/>
        <v>4147065.3600000003</v>
      </c>
      <c r="AG708" s="38" t="s">
        <v>857</v>
      </c>
      <c r="AH708" s="29" t="s">
        <v>1285</v>
      </c>
      <c r="AI708" s="30">
        <f>413506.52+39634.08+203862.73+22675.21+238112.3-5677.61+315671.54+256839.5+48499.95+31156.55+577305.1+574631.44+238908.29+212961.41</f>
        <v>3168087.0100000002</v>
      </c>
      <c r="AJ708" s="30">
        <f>51329.52+25659.99+79433+5677.61+44422.4+12020.11+67601.69+43232.94+109585.05+124594.61+40612.79</f>
        <v>604169.71000000008</v>
      </c>
    </row>
    <row r="709" spans="1:109" ht="141.75" x14ac:dyDescent="0.25">
      <c r="A709" s="6">
        <v>706</v>
      </c>
      <c r="B709" s="31">
        <v>110423</v>
      </c>
      <c r="C709" s="31">
        <v>207</v>
      </c>
      <c r="D709" s="11" t="s">
        <v>143</v>
      </c>
      <c r="E709" s="24" t="s">
        <v>270</v>
      </c>
      <c r="F709" s="67" t="s">
        <v>1902</v>
      </c>
      <c r="G709" s="70" t="s">
        <v>532</v>
      </c>
      <c r="H709" s="8" t="s">
        <v>151</v>
      </c>
      <c r="I709" s="12" t="s">
        <v>533</v>
      </c>
      <c r="J709" s="25">
        <v>43272</v>
      </c>
      <c r="K709" s="25">
        <v>43820</v>
      </c>
      <c r="L709" s="26">
        <f t="shared" si="260"/>
        <v>82.304184780767926</v>
      </c>
      <c r="M709" s="11" t="s">
        <v>272</v>
      </c>
      <c r="N709" s="11" t="s">
        <v>261</v>
      </c>
      <c r="O709" s="11" t="s">
        <v>261</v>
      </c>
      <c r="P709" s="27" t="s">
        <v>274</v>
      </c>
      <c r="Q709" s="11" t="s">
        <v>34</v>
      </c>
      <c r="R709" s="2">
        <f t="shared" si="266"/>
        <v>823039.14</v>
      </c>
      <c r="S709" s="2">
        <v>663709.35</v>
      </c>
      <c r="T709" s="2">
        <v>159329.79</v>
      </c>
      <c r="U709" s="2">
        <f t="shared" ref="U709:U739" si="270">V709+W709</f>
        <v>156957.63</v>
      </c>
      <c r="V709" s="28">
        <v>117125.19</v>
      </c>
      <c r="W709" s="28">
        <v>39832.44</v>
      </c>
      <c r="X709" s="2">
        <f t="shared" si="267"/>
        <v>0</v>
      </c>
      <c r="Y709" s="2">
        <v>0</v>
      </c>
      <c r="Z709" s="2">
        <v>0</v>
      </c>
      <c r="AA709" s="2">
        <f t="shared" si="268"/>
        <v>19999.939999999999</v>
      </c>
      <c r="AB709" s="2">
        <v>15935.41</v>
      </c>
      <c r="AC709" s="2">
        <v>4064.53</v>
      </c>
      <c r="AD709" s="16">
        <f t="shared" ref="AD709:AD772" si="271">R709+U709+X709+AA709</f>
        <v>999996.71</v>
      </c>
      <c r="AE709" s="2">
        <v>0</v>
      </c>
      <c r="AF709" s="2">
        <f t="shared" si="269"/>
        <v>999996.71</v>
      </c>
      <c r="AG709" s="38" t="s">
        <v>857</v>
      </c>
      <c r="AH709" s="29" t="s">
        <v>1250</v>
      </c>
      <c r="AI709" s="30">
        <f>563686.25+9788.05+56761.68+161067.97+5325.05</f>
        <v>796629.00000000012</v>
      </c>
      <c r="AJ709" s="30">
        <f>88427.44+20936.91+10824.71+11646.17+20085.81</f>
        <v>151921.04</v>
      </c>
    </row>
    <row r="710" spans="1:109" ht="141.75" x14ac:dyDescent="0.25">
      <c r="A710" s="6">
        <v>707</v>
      </c>
      <c r="B710" s="31">
        <v>111199</v>
      </c>
      <c r="C710" s="31">
        <v>147</v>
      </c>
      <c r="D710" s="11" t="s">
        <v>143</v>
      </c>
      <c r="E710" s="24" t="s">
        <v>270</v>
      </c>
      <c r="F710" s="67" t="s">
        <v>564</v>
      </c>
      <c r="G710" s="11" t="s">
        <v>565</v>
      </c>
      <c r="H710" s="11" t="s">
        <v>566</v>
      </c>
      <c r="I710" s="12" t="s">
        <v>567</v>
      </c>
      <c r="J710" s="25">
        <v>43277</v>
      </c>
      <c r="K710" s="25">
        <v>43764</v>
      </c>
      <c r="L710" s="26">
        <f t="shared" si="260"/>
        <v>82.524995224288418</v>
      </c>
      <c r="M710" s="11" t="s">
        <v>272</v>
      </c>
      <c r="N710" s="11" t="s">
        <v>261</v>
      </c>
      <c r="O710" s="11" t="s">
        <v>261</v>
      </c>
      <c r="P710" s="27" t="s">
        <v>274</v>
      </c>
      <c r="Q710" s="11" t="s">
        <v>34</v>
      </c>
      <c r="R710" s="2">
        <f t="shared" si="266"/>
        <v>825126.99</v>
      </c>
      <c r="S710" s="2">
        <v>665393.03</v>
      </c>
      <c r="T710" s="2">
        <v>159733.96</v>
      </c>
      <c r="U710" s="2">
        <f t="shared" si="270"/>
        <v>154726.99</v>
      </c>
      <c r="V710" s="28">
        <v>115327.75</v>
      </c>
      <c r="W710" s="28">
        <v>39399.24</v>
      </c>
      <c r="X710" s="2">
        <f t="shared" si="267"/>
        <v>0</v>
      </c>
      <c r="Y710" s="2">
        <v>0</v>
      </c>
      <c r="Z710" s="2">
        <v>0</v>
      </c>
      <c r="AA710" s="2">
        <f t="shared" si="268"/>
        <v>19997.02</v>
      </c>
      <c r="AB710" s="2">
        <v>15933.08</v>
      </c>
      <c r="AC710" s="2">
        <v>4063.94</v>
      </c>
      <c r="AD710" s="16">
        <f t="shared" si="271"/>
        <v>999851</v>
      </c>
      <c r="AE710" s="2">
        <v>0</v>
      </c>
      <c r="AF710" s="2">
        <f t="shared" si="269"/>
        <v>999851</v>
      </c>
      <c r="AG710" s="21" t="s">
        <v>857</v>
      </c>
      <c r="AH710" s="29" t="s">
        <v>151</v>
      </c>
      <c r="AI710" s="30">
        <f>468127.93-12613.35+243265.58</f>
        <v>698780.16000000003</v>
      </c>
      <c r="AJ710" s="30">
        <f>17105.45+14284.79+17404.21+19871.63+13778.33+48936.49</f>
        <v>131380.9</v>
      </c>
    </row>
    <row r="711" spans="1:109" ht="315" x14ac:dyDescent="0.25">
      <c r="A711" s="6">
        <v>708</v>
      </c>
      <c r="B711" s="31">
        <v>111846</v>
      </c>
      <c r="C711" s="31">
        <v>165</v>
      </c>
      <c r="D711" s="11" t="s">
        <v>143</v>
      </c>
      <c r="E711" s="24" t="s">
        <v>270</v>
      </c>
      <c r="F711" s="11" t="s">
        <v>542</v>
      </c>
      <c r="G711" s="11" t="s">
        <v>543</v>
      </c>
      <c r="H711" s="8" t="s">
        <v>151</v>
      </c>
      <c r="I711" s="12" t="s">
        <v>2945</v>
      </c>
      <c r="J711" s="25">
        <v>43278</v>
      </c>
      <c r="K711" s="25">
        <v>43643</v>
      </c>
      <c r="L711" s="26">
        <f t="shared" si="260"/>
        <v>82.304186166768261</v>
      </c>
      <c r="M711" s="11" t="s">
        <v>272</v>
      </c>
      <c r="N711" s="11" t="s">
        <v>261</v>
      </c>
      <c r="O711" s="11" t="s">
        <v>261</v>
      </c>
      <c r="P711" s="27" t="s">
        <v>274</v>
      </c>
      <c r="Q711" s="11" t="s">
        <v>34</v>
      </c>
      <c r="R711" s="2">
        <f t="shared" si="266"/>
        <v>693954.33</v>
      </c>
      <c r="S711" s="2">
        <v>559613.69999999995</v>
      </c>
      <c r="T711" s="2">
        <v>134340.63</v>
      </c>
      <c r="U711" s="2">
        <f t="shared" si="270"/>
        <v>132340.51</v>
      </c>
      <c r="V711" s="28">
        <v>98755.36</v>
      </c>
      <c r="W711" s="28">
        <v>33585.15</v>
      </c>
      <c r="X711" s="2">
        <f t="shared" si="267"/>
        <v>0</v>
      </c>
      <c r="Y711" s="2">
        <v>0</v>
      </c>
      <c r="Z711" s="2">
        <v>0</v>
      </c>
      <c r="AA711" s="2">
        <f t="shared" si="268"/>
        <v>16863.16</v>
      </c>
      <c r="AB711" s="2">
        <v>13436.1</v>
      </c>
      <c r="AC711" s="2">
        <v>3427.06</v>
      </c>
      <c r="AD711" s="16">
        <f t="shared" si="271"/>
        <v>843158</v>
      </c>
      <c r="AE711" s="2">
        <v>0</v>
      </c>
      <c r="AF711" s="2">
        <f t="shared" si="269"/>
        <v>843158</v>
      </c>
      <c r="AG711" s="21" t="s">
        <v>857</v>
      </c>
      <c r="AH711" s="29" t="s">
        <v>151</v>
      </c>
      <c r="AI711" s="30">
        <v>635983.98</v>
      </c>
      <c r="AJ711" s="30">
        <v>121285.28</v>
      </c>
    </row>
    <row r="712" spans="1:109" ht="409.5" x14ac:dyDescent="0.25">
      <c r="A712" s="6">
        <v>709</v>
      </c>
      <c r="B712" s="31">
        <v>110795</v>
      </c>
      <c r="C712" s="31">
        <v>127</v>
      </c>
      <c r="D712" s="11" t="s">
        <v>143</v>
      </c>
      <c r="E712" s="24" t="s">
        <v>270</v>
      </c>
      <c r="F712" s="11" t="s">
        <v>544</v>
      </c>
      <c r="G712" s="11" t="s">
        <v>549</v>
      </c>
      <c r="H712" s="11" t="s">
        <v>550</v>
      </c>
      <c r="I712" s="120" t="s">
        <v>2946</v>
      </c>
      <c r="J712" s="25">
        <v>43278</v>
      </c>
      <c r="K712" s="25">
        <v>43765</v>
      </c>
      <c r="L712" s="26">
        <f t="shared" si="260"/>
        <v>82.304181171723172</v>
      </c>
      <c r="M712" s="11" t="s">
        <v>272</v>
      </c>
      <c r="N712" s="11" t="s">
        <v>261</v>
      </c>
      <c r="O712" s="11" t="s">
        <v>261</v>
      </c>
      <c r="P712" s="27" t="s">
        <v>274</v>
      </c>
      <c r="Q712" s="11" t="s">
        <v>34</v>
      </c>
      <c r="R712" s="2">
        <f t="shared" si="266"/>
        <v>818511.09</v>
      </c>
      <c r="S712" s="2">
        <v>660057.88</v>
      </c>
      <c r="T712" s="2">
        <v>158453.21</v>
      </c>
      <c r="U712" s="2">
        <f t="shared" si="270"/>
        <v>156094.12</v>
      </c>
      <c r="V712" s="28">
        <v>116480.81</v>
      </c>
      <c r="W712" s="28">
        <v>39613.31</v>
      </c>
      <c r="X712" s="2">
        <f t="shared" si="267"/>
        <v>0</v>
      </c>
      <c r="Y712" s="2">
        <v>0</v>
      </c>
      <c r="Z712" s="2">
        <v>0</v>
      </c>
      <c r="AA712" s="2">
        <f t="shared" si="268"/>
        <v>19889.939999999999</v>
      </c>
      <c r="AB712" s="2">
        <v>15847.76</v>
      </c>
      <c r="AC712" s="2">
        <v>4042.18</v>
      </c>
      <c r="AD712" s="16">
        <f t="shared" si="271"/>
        <v>994495.14999999991</v>
      </c>
      <c r="AE712" s="2"/>
      <c r="AF712" s="2">
        <f t="shared" si="269"/>
        <v>994495.14999999991</v>
      </c>
      <c r="AG712" s="21" t="s">
        <v>857</v>
      </c>
      <c r="AH712" s="29" t="s">
        <v>1297</v>
      </c>
      <c r="AI712" s="30">
        <f>795982.47-5714.37</f>
        <v>790268.1</v>
      </c>
      <c r="AJ712" s="30">
        <f>11135.04+27716.68+9400.61+3526.85+11840.91+7483.51+15010.54+8062.74+19640.21+23451.37+13439.59</f>
        <v>150708.04999999999</v>
      </c>
    </row>
    <row r="713" spans="1:109" ht="173.25" x14ac:dyDescent="0.25">
      <c r="A713" s="6">
        <v>710</v>
      </c>
      <c r="B713" s="31">
        <v>110651</v>
      </c>
      <c r="C713" s="31">
        <v>226</v>
      </c>
      <c r="D713" s="11" t="s">
        <v>143</v>
      </c>
      <c r="E713" s="24" t="s">
        <v>270</v>
      </c>
      <c r="F713" s="67" t="s">
        <v>545</v>
      </c>
      <c r="G713" s="11" t="s">
        <v>546</v>
      </c>
      <c r="H713" s="11" t="s">
        <v>547</v>
      </c>
      <c r="I713" s="120" t="s">
        <v>548</v>
      </c>
      <c r="J713" s="25">
        <v>43278</v>
      </c>
      <c r="K713" s="25">
        <v>43888</v>
      </c>
      <c r="L713" s="26">
        <f t="shared" si="260"/>
        <v>82.795867701166785</v>
      </c>
      <c r="M713" s="11" t="s">
        <v>272</v>
      </c>
      <c r="N713" s="11" t="s">
        <v>261</v>
      </c>
      <c r="O713" s="11" t="s">
        <v>261</v>
      </c>
      <c r="P713" s="27" t="s">
        <v>274</v>
      </c>
      <c r="Q713" s="11" t="s">
        <v>34</v>
      </c>
      <c r="R713" s="2">
        <f t="shared" si="266"/>
        <v>774090.99</v>
      </c>
      <c r="S713" s="2">
        <v>624236.93999999994</v>
      </c>
      <c r="T713" s="2">
        <v>149854.04999999999</v>
      </c>
      <c r="U713" s="2">
        <f t="shared" si="270"/>
        <v>142149.35</v>
      </c>
      <c r="V713" s="28">
        <v>105798.22</v>
      </c>
      <c r="W713" s="28">
        <v>36351.129999999997</v>
      </c>
      <c r="X713" s="2">
        <f t="shared" si="267"/>
        <v>0</v>
      </c>
      <c r="Y713" s="2">
        <v>0</v>
      </c>
      <c r="Z713" s="2">
        <v>0</v>
      </c>
      <c r="AA713" s="2">
        <f t="shared" si="268"/>
        <v>18698.82</v>
      </c>
      <c r="AB713" s="2">
        <v>14898.71</v>
      </c>
      <c r="AC713" s="2">
        <v>3800.11</v>
      </c>
      <c r="AD713" s="16">
        <f t="shared" si="271"/>
        <v>934939.15999999992</v>
      </c>
      <c r="AE713" s="2">
        <v>0</v>
      </c>
      <c r="AF713" s="2">
        <f t="shared" si="269"/>
        <v>934939.15999999992</v>
      </c>
      <c r="AG713" s="38" t="s">
        <v>1427</v>
      </c>
      <c r="AH713" s="29" t="s">
        <v>1380</v>
      </c>
      <c r="AI713" s="30">
        <f>290168.64+158796.65+191537.98+13320.11+41319.41+35445.84</f>
        <v>730588.63</v>
      </c>
      <c r="AJ713" s="30">
        <f>9460.82+5699.03+7815.58+13530.31+28217.32+52704.62+2540.21+7879.82+6718.82</f>
        <v>134566.53</v>
      </c>
    </row>
    <row r="714" spans="1:109" ht="267.75" x14ac:dyDescent="0.25">
      <c r="A714" s="6">
        <v>711</v>
      </c>
      <c r="B714" s="31">
        <v>111787</v>
      </c>
      <c r="C714" s="31">
        <v>169</v>
      </c>
      <c r="D714" s="11" t="s">
        <v>143</v>
      </c>
      <c r="E714" s="24" t="s">
        <v>270</v>
      </c>
      <c r="F714" s="11" t="s">
        <v>551</v>
      </c>
      <c r="G714" s="11" t="s">
        <v>552</v>
      </c>
      <c r="H714" s="8" t="s">
        <v>151</v>
      </c>
      <c r="I714" s="120" t="s">
        <v>553</v>
      </c>
      <c r="J714" s="25">
        <v>43278</v>
      </c>
      <c r="K714" s="25">
        <v>43765</v>
      </c>
      <c r="L714" s="26">
        <f t="shared" si="260"/>
        <v>82.304186085847633</v>
      </c>
      <c r="M714" s="11" t="s">
        <v>272</v>
      </c>
      <c r="N714" s="11" t="s">
        <v>261</v>
      </c>
      <c r="O714" s="11" t="s">
        <v>261</v>
      </c>
      <c r="P714" s="27" t="s">
        <v>274</v>
      </c>
      <c r="Q714" s="11" t="s">
        <v>34</v>
      </c>
      <c r="R714" s="2">
        <f t="shared" si="266"/>
        <v>822921.16999999993</v>
      </c>
      <c r="S714" s="2">
        <v>663614.22</v>
      </c>
      <c r="T714" s="2">
        <v>159306.95000000001</v>
      </c>
      <c r="U714" s="2">
        <f t="shared" si="270"/>
        <v>156935.12</v>
      </c>
      <c r="V714" s="28">
        <v>117108.4</v>
      </c>
      <c r="W714" s="28">
        <v>39826.720000000001</v>
      </c>
      <c r="X714" s="2">
        <f t="shared" si="267"/>
        <v>0</v>
      </c>
      <c r="Y714" s="2">
        <v>0</v>
      </c>
      <c r="Z714" s="2">
        <v>0</v>
      </c>
      <c r="AA714" s="2">
        <f t="shared" si="268"/>
        <v>19997.07</v>
      </c>
      <c r="AB714" s="2">
        <v>15933.11</v>
      </c>
      <c r="AC714" s="2">
        <v>4063.96</v>
      </c>
      <c r="AD714" s="16">
        <f t="shared" si="271"/>
        <v>999853.35999999987</v>
      </c>
      <c r="AE714" s="2"/>
      <c r="AF714" s="2">
        <f t="shared" si="269"/>
        <v>999853.35999999987</v>
      </c>
      <c r="AG714" s="21" t="s">
        <v>857</v>
      </c>
      <c r="AH714" s="29"/>
      <c r="AI714" s="30">
        <f>632729.75+99985.33+30378.24</f>
        <v>763093.32</v>
      </c>
      <c r="AJ714" s="30">
        <f>120664.73+24860.93</f>
        <v>145525.66</v>
      </c>
    </row>
    <row r="715" spans="1:109" ht="267.75" x14ac:dyDescent="0.25">
      <c r="A715" s="6">
        <v>712</v>
      </c>
      <c r="B715" s="31">
        <v>113139</v>
      </c>
      <c r="C715" s="31">
        <v>387</v>
      </c>
      <c r="D715" s="97" t="s">
        <v>1640</v>
      </c>
      <c r="E715" s="24" t="s">
        <v>528</v>
      </c>
      <c r="F715" s="11" t="s">
        <v>560</v>
      </c>
      <c r="G715" s="11" t="s">
        <v>559</v>
      </c>
      <c r="H715" s="11" t="s">
        <v>561</v>
      </c>
      <c r="I715" s="120" t="s">
        <v>562</v>
      </c>
      <c r="J715" s="25">
        <v>43273</v>
      </c>
      <c r="K715" s="25">
        <v>43821</v>
      </c>
      <c r="L715" s="26">
        <f t="shared" si="260"/>
        <v>82.304185877391092</v>
      </c>
      <c r="M715" s="11" t="s">
        <v>272</v>
      </c>
      <c r="N715" s="11" t="s">
        <v>261</v>
      </c>
      <c r="O715" s="11" t="s">
        <v>261</v>
      </c>
      <c r="P715" s="27" t="s">
        <v>274</v>
      </c>
      <c r="Q715" s="11" t="s">
        <v>34</v>
      </c>
      <c r="R715" s="2">
        <f t="shared" si="266"/>
        <v>3201407.49</v>
      </c>
      <c r="S715" s="2">
        <v>2581656.23</v>
      </c>
      <c r="T715" s="2">
        <v>619751.26</v>
      </c>
      <c r="U715" s="2">
        <f t="shared" si="270"/>
        <v>610524.19999999995</v>
      </c>
      <c r="V715" s="28">
        <v>455586.38</v>
      </c>
      <c r="W715" s="28">
        <v>154937.82</v>
      </c>
      <c r="X715" s="2">
        <f t="shared" si="267"/>
        <v>0</v>
      </c>
      <c r="Y715" s="2">
        <v>0</v>
      </c>
      <c r="Z715" s="2">
        <v>0</v>
      </c>
      <c r="AA715" s="2">
        <f t="shared" si="268"/>
        <v>77794.52</v>
      </c>
      <c r="AB715" s="2">
        <v>61984.53</v>
      </c>
      <c r="AC715" s="2">
        <v>15809.99</v>
      </c>
      <c r="AD715" s="16">
        <f t="shared" si="271"/>
        <v>3889726.2100000004</v>
      </c>
      <c r="AE715" s="2">
        <v>0</v>
      </c>
      <c r="AF715" s="2">
        <f t="shared" si="269"/>
        <v>3889726.2100000004</v>
      </c>
      <c r="AG715" s="38" t="s">
        <v>857</v>
      </c>
      <c r="AH715" s="122" t="s">
        <v>1388</v>
      </c>
      <c r="AI715" s="30">
        <f>2214779.71+463121.02-10623.72+221453.03</f>
        <v>2888730.0399999996</v>
      </c>
      <c r="AJ715" s="30">
        <f>422369.41+55414.99+30878.49+42232.21</f>
        <v>550895.1</v>
      </c>
    </row>
    <row r="716" spans="1:109" ht="283.5" x14ac:dyDescent="0.25">
      <c r="A716" s="6">
        <v>713</v>
      </c>
      <c r="B716" s="31">
        <v>111603</v>
      </c>
      <c r="C716" s="31">
        <v>195</v>
      </c>
      <c r="D716" s="11" t="s">
        <v>143</v>
      </c>
      <c r="E716" s="24" t="s">
        <v>270</v>
      </c>
      <c r="F716" s="67" t="s">
        <v>1903</v>
      </c>
      <c r="G716" s="67" t="s">
        <v>572</v>
      </c>
      <c r="H716" s="11" t="s">
        <v>571</v>
      </c>
      <c r="I716" s="120" t="s">
        <v>1357</v>
      </c>
      <c r="J716" s="25">
        <v>43283</v>
      </c>
      <c r="K716" s="25">
        <v>43832</v>
      </c>
      <c r="L716" s="26">
        <f t="shared" si="260"/>
        <v>82.551093571828332</v>
      </c>
      <c r="M716" s="11" t="s">
        <v>272</v>
      </c>
      <c r="N716" s="11" t="s">
        <v>261</v>
      </c>
      <c r="O716" s="11" t="s">
        <v>261</v>
      </c>
      <c r="P716" s="27" t="s">
        <v>274</v>
      </c>
      <c r="Q716" s="11" t="s">
        <v>34</v>
      </c>
      <c r="R716" s="2">
        <f t="shared" si="266"/>
        <v>821971.83000000007</v>
      </c>
      <c r="S716" s="2">
        <v>662848.68000000005</v>
      </c>
      <c r="T716" s="2">
        <v>159123.15</v>
      </c>
      <c r="U716" s="2">
        <f t="shared" si="270"/>
        <v>153826.60999999999</v>
      </c>
      <c r="V716" s="28">
        <v>114640.81</v>
      </c>
      <c r="W716" s="28">
        <v>39185.800000000003</v>
      </c>
      <c r="X716" s="2">
        <f t="shared" si="267"/>
        <v>0</v>
      </c>
      <c r="Y716" s="2">
        <v>0</v>
      </c>
      <c r="Z716" s="2">
        <v>0</v>
      </c>
      <c r="AA716" s="2">
        <f t="shared" si="268"/>
        <v>19914.39</v>
      </c>
      <c r="AB716" s="2">
        <v>15867.18</v>
      </c>
      <c r="AC716" s="2">
        <v>4047.21</v>
      </c>
      <c r="AD716" s="16">
        <f t="shared" si="271"/>
        <v>995712.83000000007</v>
      </c>
      <c r="AE716" s="2">
        <v>0</v>
      </c>
      <c r="AF716" s="2">
        <f t="shared" si="269"/>
        <v>995712.83000000007</v>
      </c>
      <c r="AG716" s="38" t="s">
        <v>857</v>
      </c>
      <c r="AH716" s="29" t="s">
        <v>1379</v>
      </c>
      <c r="AI716" s="30">
        <f>466245.36+6853.06+84110.02+169507.04+37084.55</f>
        <v>763800.03</v>
      </c>
      <c r="AJ716" s="30">
        <f>84901.98+1306.91+50214.53+6975.06</f>
        <v>143398.47999999998</v>
      </c>
    </row>
    <row r="717" spans="1:109" ht="141.75" x14ac:dyDescent="0.25">
      <c r="A717" s="6">
        <v>714</v>
      </c>
      <c r="B717" s="31">
        <v>113188</v>
      </c>
      <c r="C717" s="31">
        <v>246</v>
      </c>
      <c r="D717" s="11" t="s">
        <v>143</v>
      </c>
      <c r="E717" s="24" t="s">
        <v>270</v>
      </c>
      <c r="F717" s="67" t="s">
        <v>577</v>
      </c>
      <c r="G717" s="11" t="s">
        <v>578</v>
      </c>
      <c r="H717" s="8" t="s">
        <v>151</v>
      </c>
      <c r="I717" s="120" t="s">
        <v>579</v>
      </c>
      <c r="J717" s="25">
        <v>43284</v>
      </c>
      <c r="K717" s="25">
        <v>43711</v>
      </c>
      <c r="L717" s="26">
        <f t="shared" si="260"/>
        <v>82.304188575115816</v>
      </c>
      <c r="M717" s="11" t="s">
        <v>272</v>
      </c>
      <c r="N717" s="11" t="s">
        <v>261</v>
      </c>
      <c r="O717" s="11" t="s">
        <v>261</v>
      </c>
      <c r="P717" s="27" t="s">
        <v>274</v>
      </c>
      <c r="Q717" s="11" t="s">
        <v>34</v>
      </c>
      <c r="R717" s="2">
        <f t="shared" si="266"/>
        <v>745468.83000000007</v>
      </c>
      <c r="S717" s="2">
        <v>601155.66</v>
      </c>
      <c r="T717" s="2">
        <v>144313.17000000001</v>
      </c>
      <c r="U717" s="2">
        <f t="shared" si="270"/>
        <v>142164.54</v>
      </c>
      <c r="V717" s="28">
        <v>106086.28</v>
      </c>
      <c r="W717" s="28">
        <v>36078.26</v>
      </c>
      <c r="X717" s="2">
        <f t="shared" si="267"/>
        <v>0</v>
      </c>
      <c r="Y717" s="2">
        <v>0</v>
      </c>
      <c r="Z717" s="2">
        <v>0</v>
      </c>
      <c r="AA717" s="2">
        <f t="shared" si="268"/>
        <v>18114.98</v>
      </c>
      <c r="AB717" s="2">
        <v>14433.5</v>
      </c>
      <c r="AC717" s="2">
        <v>3681.48</v>
      </c>
      <c r="AD717" s="16">
        <f t="shared" si="271"/>
        <v>905748.35000000009</v>
      </c>
      <c r="AE717" s="2">
        <v>0</v>
      </c>
      <c r="AF717" s="2">
        <f t="shared" si="269"/>
        <v>905748.35000000009</v>
      </c>
      <c r="AG717" s="21" t="s">
        <v>857</v>
      </c>
      <c r="AH717" s="29" t="s">
        <v>151</v>
      </c>
      <c r="AI717" s="30">
        <f>664924.33+44153.06</f>
        <v>709077.3899999999</v>
      </c>
      <c r="AJ717" s="30">
        <f>126804.37+8420.22</f>
        <v>135224.59</v>
      </c>
    </row>
    <row r="718" spans="1:109" ht="409.5" x14ac:dyDescent="0.25">
      <c r="A718" s="6">
        <v>715</v>
      </c>
      <c r="B718" s="31">
        <v>109966</v>
      </c>
      <c r="C718" s="31">
        <v>368</v>
      </c>
      <c r="D718" s="11" t="s">
        <v>143</v>
      </c>
      <c r="E718" s="24" t="s">
        <v>270</v>
      </c>
      <c r="F718" s="27" t="s">
        <v>1904</v>
      </c>
      <c r="G718" s="27" t="s">
        <v>584</v>
      </c>
      <c r="H718" s="8" t="s">
        <v>151</v>
      </c>
      <c r="I718" s="120" t="s">
        <v>2947</v>
      </c>
      <c r="J718" s="25">
        <v>43284</v>
      </c>
      <c r="K718" s="25">
        <v>43772</v>
      </c>
      <c r="L718" s="26">
        <f t="shared" si="260"/>
        <v>82.304190385931335</v>
      </c>
      <c r="M718" s="11" t="s">
        <v>272</v>
      </c>
      <c r="N718" s="11" t="s">
        <v>268</v>
      </c>
      <c r="O718" s="11" t="s">
        <v>805</v>
      </c>
      <c r="P718" s="27" t="s">
        <v>274</v>
      </c>
      <c r="Q718" s="11" t="s">
        <v>34</v>
      </c>
      <c r="R718" s="2">
        <f t="shared" si="266"/>
        <v>820713.65</v>
      </c>
      <c r="S718" s="2">
        <v>661834.04</v>
      </c>
      <c r="T718" s="2">
        <v>158879.60999999999</v>
      </c>
      <c r="U718" s="2">
        <f t="shared" si="270"/>
        <v>156514.07999999999</v>
      </c>
      <c r="V718" s="28">
        <v>116794.2</v>
      </c>
      <c r="W718" s="28">
        <v>39719.879999999997</v>
      </c>
      <c r="X718" s="2">
        <f t="shared" si="267"/>
        <v>0</v>
      </c>
      <c r="Y718" s="2">
        <v>0</v>
      </c>
      <c r="Z718" s="2">
        <v>0</v>
      </c>
      <c r="AA718" s="2">
        <f t="shared" si="268"/>
        <v>19943.43</v>
      </c>
      <c r="AB718" s="2">
        <v>15890.39</v>
      </c>
      <c r="AC718" s="2">
        <v>4053.04</v>
      </c>
      <c r="AD718" s="16">
        <f t="shared" si="271"/>
        <v>997171.16</v>
      </c>
      <c r="AE718" s="2">
        <v>0</v>
      </c>
      <c r="AF718" s="2">
        <f t="shared" si="269"/>
        <v>997171.16</v>
      </c>
      <c r="AG718" s="21" t="s">
        <v>857</v>
      </c>
      <c r="AH718" s="29" t="s">
        <v>151</v>
      </c>
      <c r="AI718" s="30">
        <f>451378.67-10182.02+208239.85+24003.15</f>
        <v>673439.65</v>
      </c>
      <c r="AJ718" s="30">
        <f>16734.59+7125.74+9148.44+12691.77+4258.59+17107.67+10182.02+39712.4+11467</f>
        <v>128428.22</v>
      </c>
    </row>
    <row r="719" spans="1:109" ht="141.75" x14ac:dyDescent="0.25">
      <c r="A719" s="6">
        <v>716</v>
      </c>
      <c r="B719" s="31">
        <v>112133</v>
      </c>
      <c r="C719" s="31">
        <v>149</v>
      </c>
      <c r="D719" s="11" t="s">
        <v>143</v>
      </c>
      <c r="E719" s="24" t="s">
        <v>270</v>
      </c>
      <c r="F719" s="67" t="s">
        <v>586</v>
      </c>
      <c r="G719" s="11" t="s">
        <v>587</v>
      </c>
      <c r="H719" s="11" t="s">
        <v>588</v>
      </c>
      <c r="I719" s="159" t="s">
        <v>589</v>
      </c>
      <c r="J719" s="25">
        <v>43286</v>
      </c>
      <c r="K719" s="25">
        <v>43774</v>
      </c>
      <c r="L719" s="26">
        <f t="shared" si="260"/>
        <v>82.304192989201169</v>
      </c>
      <c r="M719" s="11" t="s">
        <v>272</v>
      </c>
      <c r="N719" s="11" t="s">
        <v>582</v>
      </c>
      <c r="O719" s="11" t="s">
        <v>583</v>
      </c>
      <c r="P719" s="27" t="s">
        <v>274</v>
      </c>
      <c r="Q719" s="11" t="s">
        <v>34</v>
      </c>
      <c r="R719" s="2">
        <v>615782.40000000002</v>
      </c>
      <c r="S719" s="2">
        <v>496574.82</v>
      </c>
      <c r="T719" s="2">
        <v>119207.58</v>
      </c>
      <c r="U719" s="2">
        <f t="shared" si="270"/>
        <v>117432.69</v>
      </c>
      <c r="V719" s="28">
        <v>87630.81</v>
      </c>
      <c r="W719" s="28">
        <v>29801.88</v>
      </c>
      <c r="X719" s="2">
        <f t="shared" si="267"/>
        <v>0</v>
      </c>
      <c r="Y719" s="2">
        <v>0</v>
      </c>
      <c r="Z719" s="2">
        <v>0</v>
      </c>
      <c r="AA719" s="2">
        <f t="shared" si="268"/>
        <v>14963.56</v>
      </c>
      <c r="AB719" s="2">
        <v>11922.59</v>
      </c>
      <c r="AC719" s="2">
        <v>3040.97</v>
      </c>
      <c r="AD719" s="16">
        <f t="shared" si="271"/>
        <v>748178.65000000014</v>
      </c>
      <c r="AE719" s="2"/>
      <c r="AF719" s="2">
        <f t="shared" si="269"/>
        <v>748178.65000000014</v>
      </c>
      <c r="AG719" s="21" t="s">
        <v>857</v>
      </c>
      <c r="AH719" s="29" t="s">
        <v>151</v>
      </c>
      <c r="AI719" s="30">
        <f>439950.77+42401.19+33880.06+36167.03</f>
        <v>552399.05000000005</v>
      </c>
      <c r="AJ719" s="30">
        <f>71119.8+19653.29+7674.97+6897.24</f>
        <v>105345.3</v>
      </c>
    </row>
    <row r="720" spans="1:109" ht="141.75" x14ac:dyDescent="0.25">
      <c r="A720" s="6">
        <v>717</v>
      </c>
      <c r="B720" s="31">
        <v>112698</v>
      </c>
      <c r="C720" s="31">
        <v>231</v>
      </c>
      <c r="D720" s="11" t="s">
        <v>143</v>
      </c>
      <c r="E720" s="24" t="s">
        <v>270</v>
      </c>
      <c r="F720" s="67" t="s">
        <v>594</v>
      </c>
      <c r="G720" s="11" t="s">
        <v>595</v>
      </c>
      <c r="H720" s="11" t="s">
        <v>596</v>
      </c>
      <c r="I720" s="159" t="s">
        <v>2948</v>
      </c>
      <c r="J720" s="25">
        <v>43273</v>
      </c>
      <c r="K720" s="25">
        <v>43730</v>
      </c>
      <c r="L720" s="26">
        <f t="shared" si="260"/>
        <v>82.525665803949437</v>
      </c>
      <c r="M720" s="11" t="s">
        <v>272</v>
      </c>
      <c r="N720" s="11" t="s">
        <v>261</v>
      </c>
      <c r="O720" s="11" t="s">
        <v>261</v>
      </c>
      <c r="P720" s="27" t="s">
        <v>274</v>
      </c>
      <c r="Q720" s="11" t="s">
        <v>34</v>
      </c>
      <c r="R720" s="2">
        <f t="shared" ref="R720:R751" si="272">S720+T720</f>
        <v>814877.24</v>
      </c>
      <c r="S720" s="2">
        <v>657127.51</v>
      </c>
      <c r="T720" s="2">
        <v>157749.73000000001</v>
      </c>
      <c r="U720" s="2">
        <f t="shared" si="270"/>
        <v>134548.1</v>
      </c>
      <c r="V720" s="28">
        <v>100402.7</v>
      </c>
      <c r="W720" s="28">
        <v>34145.4</v>
      </c>
      <c r="X720" s="2">
        <f t="shared" si="267"/>
        <v>20853.009999999998</v>
      </c>
      <c r="Y720" s="2">
        <v>15560.97</v>
      </c>
      <c r="Z720" s="2">
        <v>5292.04</v>
      </c>
      <c r="AA720" s="2">
        <f t="shared" si="268"/>
        <v>17144.45</v>
      </c>
      <c r="AB720" s="2">
        <v>13660.23</v>
      </c>
      <c r="AC720" s="2">
        <v>3484.22</v>
      </c>
      <c r="AD720" s="16">
        <f t="shared" si="271"/>
        <v>987422.79999999993</v>
      </c>
      <c r="AE720" s="2"/>
      <c r="AF720" s="2">
        <f t="shared" si="269"/>
        <v>987422.79999999993</v>
      </c>
      <c r="AG720" s="21" t="s">
        <v>857</v>
      </c>
      <c r="AH720" s="29" t="s">
        <v>1126</v>
      </c>
      <c r="AI720" s="30">
        <f>85822.98+78186.5+192062.93</f>
        <v>356072.41</v>
      </c>
      <c r="AJ720" s="30">
        <f>14910.56+48890.63</f>
        <v>63801.189999999995</v>
      </c>
    </row>
    <row r="721" spans="1:109" ht="409.5" x14ac:dyDescent="0.25">
      <c r="A721" s="6">
        <v>718</v>
      </c>
      <c r="B721" s="31">
        <v>112427</v>
      </c>
      <c r="C721" s="31">
        <v>367</v>
      </c>
      <c r="D721" s="11" t="s">
        <v>143</v>
      </c>
      <c r="E721" s="24" t="s">
        <v>270</v>
      </c>
      <c r="F721" s="67" t="s">
        <v>599</v>
      </c>
      <c r="G721" s="11" t="s">
        <v>600</v>
      </c>
      <c r="H721" s="11" t="s">
        <v>602</v>
      </c>
      <c r="I721" s="120" t="s">
        <v>601</v>
      </c>
      <c r="J721" s="25">
        <v>43290</v>
      </c>
      <c r="K721" s="25">
        <v>43778</v>
      </c>
      <c r="L721" s="26">
        <f t="shared" si="260"/>
        <v>82.304189883139372</v>
      </c>
      <c r="M721" s="11" t="s">
        <v>272</v>
      </c>
      <c r="N721" s="11" t="s">
        <v>261</v>
      </c>
      <c r="O721" s="11" t="s">
        <v>261</v>
      </c>
      <c r="P721" s="27" t="s">
        <v>274</v>
      </c>
      <c r="Q721" s="11" t="s">
        <v>34</v>
      </c>
      <c r="R721" s="2">
        <f t="shared" si="272"/>
        <v>785233.14</v>
      </c>
      <c r="S721" s="2">
        <v>633222.11</v>
      </c>
      <c r="T721" s="2">
        <v>152011.03</v>
      </c>
      <c r="U721" s="2">
        <f t="shared" si="270"/>
        <v>149747.75</v>
      </c>
      <c r="V721" s="28">
        <v>111745.03</v>
      </c>
      <c r="W721" s="28">
        <v>38002.720000000001</v>
      </c>
      <c r="X721" s="2">
        <f t="shared" si="267"/>
        <v>0</v>
      </c>
      <c r="Y721" s="2">
        <v>0</v>
      </c>
      <c r="Z721" s="2">
        <v>0</v>
      </c>
      <c r="AA721" s="2">
        <f t="shared" si="268"/>
        <v>19081.28</v>
      </c>
      <c r="AB721" s="2">
        <v>15203.43</v>
      </c>
      <c r="AC721" s="2">
        <v>3877.85</v>
      </c>
      <c r="AD721" s="16">
        <f t="shared" si="271"/>
        <v>954062.17</v>
      </c>
      <c r="AE721" s="2">
        <v>0</v>
      </c>
      <c r="AF721" s="2">
        <f t="shared" si="269"/>
        <v>954062.17</v>
      </c>
      <c r="AG721" s="21" t="s">
        <v>857</v>
      </c>
      <c r="AH721" s="29" t="s">
        <v>151</v>
      </c>
      <c r="AI721" s="30">
        <f>412777.32-11185.38+153298.14+162053.15</f>
        <v>716943.2300000001</v>
      </c>
      <c r="AJ721" s="30">
        <f>16617.93+10285.59+15452.81+18167.9+11690.43+33605.62+30904.31</f>
        <v>136724.59</v>
      </c>
    </row>
    <row r="722" spans="1:109" ht="141.75" x14ac:dyDescent="0.25">
      <c r="A722" s="6">
        <v>719</v>
      </c>
      <c r="B722" s="31">
        <v>112409</v>
      </c>
      <c r="C722" s="31">
        <v>150</v>
      </c>
      <c r="D722" s="11" t="s">
        <v>143</v>
      </c>
      <c r="E722" s="24" t="s">
        <v>270</v>
      </c>
      <c r="F722" s="67" t="s">
        <v>1905</v>
      </c>
      <c r="G722" s="11" t="s">
        <v>603</v>
      </c>
      <c r="H722" s="8" t="s">
        <v>151</v>
      </c>
      <c r="I722" s="120" t="s">
        <v>2949</v>
      </c>
      <c r="J722" s="25">
        <v>43291</v>
      </c>
      <c r="K722" s="25">
        <v>43779</v>
      </c>
      <c r="L722" s="26">
        <f t="shared" si="260"/>
        <v>82.304188969946821</v>
      </c>
      <c r="M722" s="11" t="s">
        <v>272</v>
      </c>
      <c r="N722" s="11" t="s">
        <v>363</v>
      </c>
      <c r="O722" s="11" t="s">
        <v>255</v>
      </c>
      <c r="P722" s="27" t="s">
        <v>274</v>
      </c>
      <c r="Q722" s="11" t="s">
        <v>34</v>
      </c>
      <c r="R722" s="2">
        <f t="shared" si="272"/>
        <v>780523.20000000007</v>
      </c>
      <c r="S722" s="2">
        <v>629423.91</v>
      </c>
      <c r="T722" s="2">
        <v>151099.29</v>
      </c>
      <c r="U722" s="2">
        <f t="shared" si="270"/>
        <v>148849.57</v>
      </c>
      <c r="V722" s="28">
        <v>111074.8</v>
      </c>
      <c r="W722" s="28">
        <v>37774.769999999997</v>
      </c>
      <c r="X722" s="2">
        <f t="shared" si="267"/>
        <v>0</v>
      </c>
      <c r="Y722" s="2">
        <v>0</v>
      </c>
      <c r="Z722" s="2">
        <v>0</v>
      </c>
      <c r="AA722" s="2">
        <f t="shared" si="268"/>
        <v>18966.810000000001</v>
      </c>
      <c r="AB722" s="2">
        <v>15112.25</v>
      </c>
      <c r="AC722" s="2">
        <v>3854.56</v>
      </c>
      <c r="AD722" s="16">
        <f t="shared" si="271"/>
        <v>948339.58000000007</v>
      </c>
      <c r="AE722" s="2">
        <v>0</v>
      </c>
      <c r="AF722" s="2">
        <f t="shared" si="269"/>
        <v>948339.58000000007</v>
      </c>
      <c r="AG722" s="21" t="s">
        <v>857</v>
      </c>
      <c r="AH722" s="29" t="s">
        <v>151</v>
      </c>
      <c r="AI722" s="30">
        <f>479629.25+84387.23+5356.46</f>
        <v>569372.93999999994</v>
      </c>
      <c r="AJ722" s="30">
        <f>73382.49+16093.07+19106.61</f>
        <v>108582.17</v>
      </c>
    </row>
    <row r="723" spans="1:109" ht="141.75" x14ac:dyDescent="0.25">
      <c r="A723" s="6">
        <v>720</v>
      </c>
      <c r="B723" s="31">
        <v>112861</v>
      </c>
      <c r="C723" s="31">
        <v>324</v>
      </c>
      <c r="D723" s="11" t="s">
        <v>143</v>
      </c>
      <c r="E723" s="24" t="s">
        <v>270</v>
      </c>
      <c r="F723" s="67" t="s">
        <v>604</v>
      </c>
      <c r="G723" s="11" t="s">
        <v>605</v>
      </c>
      <c r="H723" s="8" t="s">
        <v>151</v>
      </c>
      <c r="I723" s="46" t="s">
        <v>606</v>
      </c>
      <c r="J723" s="25">
        <v>43290</v>
      </c>
      <c r="K723" s="25">
        <v>43778</v>
      </c>
      <c r="L723" s="26">
        <f t="shared" si="260"/>
        <v>82.304190691615503</v>
      </c>
      <c r="M723" s="11" t="s">
        <v>272</v>
      </c>
      <c r="N723" s="11" t="s">
        <v>261</v>
      </c>
      <c r="O723" s="11" t="s">
        <v>261</v>
      </c>
      <c r="P723" s="27" t="s">
        <v>274</v>
      </c>
      <c r="Q723" s="11" t="s">
        <v>34</v>
      </c>
      <c r="R723" s="2">
        <f t="shared" si="272"/>
        <v>649951.84000000008</v>
      </c>
      <c r="S723" s="2">
        <v>524129.52</v>
      </c>
      <c r="T723" s="2">
        <v>125822.32</v>
      </c>
      <c r="U723" s="2">
        <f t="shared" si="270"/>
        <v>123949</v>
      </c>
      <c r="V723" s="28">
        <v>92493.43</v>
      </c>
      <c r="W723" s="28">
        <v>31455.57</v>
      </c>
      <c r="X723" s="2">
        <f t="shared" si="267"/>
        <v>0</v>
      </c>
      <c r="Y723" s="2">
        <v>0</v>
      </c>
      <c r="Z723" s="2">
        <v>0</v>
      </c>
      <c r="AA723" s="2">
        <f t="shared" si="268"/>
        <v>15793.869999999999</v>
      </c>
      <c r="AB723" s="2">
        <v>12584.14</v>
      </c>
      <c r="AC723" s="2">
        <v>3209.73</v>
      </c>
      <c r="AD723" s="16">
        <f t="shared" si="271"/>
        <v>789694.71000000008</v>
      </c>
      <c r="AE723" s="2">
        <v>0</v>
      </c>
      <c r="AF723" s="2">
        <f t="shared" si="269"/>
        <v>789694.71000000008</v>
      </c>
      <c r="AG723" s="21" t="s">
        <v>857</v>
      </c>
      <c r="AH723" s="29" t="s">
        <v>912</v>
      </c>
      <c r="AI723" s="30">
        <f>78969.47+33506.04+30781.72+5848.53+60387.9+38197.37+82803.77+168161.44-11081.22</f>
        <v>487575.02</v>
      </c>
      <c r="AJ723" s="30">
        <f>6389.76+5870.23+1115.34+11516.25+7284.43+15791.09+32069.22+12946.63</f>
        <v>92982.950000000012</v>
      </c>
    </row>
    <row r="724" spans="1:109" ht="173.25" x14ac:dyDescent="0.25">
      <c r="A724" s="6">
        <v>721</v>
      </c>
      <c r="B724" s="31">
        <v>110709</v>
      </c>
      <c r="C724" s="31">
        <v>313</v>
      </c>
      <c r="D724" s="11" t="s">
        <v>143</v>
      </c>
      <c r="E724" s="24" t="s">
        <v>270</v>
      </c>
      <c r="F724" s="67" t="s">
        <v>607</v>
      </c>
      <c r="G724" s="11" t="s">
        <v>608</v>
      </c>
      <c r="H724" s="8" t="s">
        <v>151</v>
      </c>
      <c r="I724" s="46" t="s">
        <v>2950</v>
      </c>
      <c r="J724" s="25">
        <v>43291</v>
      </c>
      <c r="K724" s="25">
        <v>43779</v>
      </c>
      <c r="L724" s="26">
        <f t="shared" si="260"/>
        <v>82.304183081659716</v>
      </c>
      <c r="M724" s="11" t="s">
        <v>272</v>
      </c>
      <c r="N724" s="11" t="s">
        <v>261</v>
      </c>
      <c r="O724" s="11" t="s">
        <v>261</v>
      </c>
      <c r="P724" s="27" t="s">
        <v>274</v>
      </c>
      <c r="Q724" s="11" t="s">
        <v>34</v>
      </c>
      <c r="R724" s="2">
        <f t="shared" si="272"/>
        <v>821857.62999999989</v>
      </c>
      <c r="S724" s="2">
        <v>662756.56999999995</v>
      </c>
      <c r="T724" s="2">
        <v>159101.06</v>
      </c>
      <c r="U724" s="2">
        <f t="shared" si="270"/>
        <v>156732.34</v>
      </c>
      <c r="V724" s="28">
        <v>116957.1</v>
      </c>
      <c r="W724" s="28">
        <v>39775.24</v>
      </c>
      <c r="X724" s="2">
        <f t="shared" si="267"/>
        <v>0</v>
      </c>
      <c r="Y724" s="2">
        <v>0</v>
      </c>
      <c r="Z724" s="2">
        <v>0</v>
      </c>
      <c r="AA724" s="2">
        <f t="shared" si="268"/>
        <v>19971.22</v>
      </c>
      <c r="AB724" s="2">
        <v>15912.5</v>
      </c>
      <c r="AC724" s="2">
        <v>4058.72</v>
      </c>
      <c r="AD724" s="16">
        <f t="shared" si="271"/>
        <v>998561.18999999983</v>
      </c>
      <c r="AE724" s="2">
        <v>576</v>
      </c>
      <c r="AF724" s="2">
        <f t="shared" si="269"/>
        <v>999137.18999999983</v>
      </c>
      <c r="AG724" s="21" t="s">
        <v>857</v>
      </c>
      <c r="AH724" s="29" t="s">
        <v>151</v>
      </c>
      <c r="AI724" s="30">
        <f>489541.18+150804.97+87205.35</f>
        <v>727551.5</v>
      </c>
      <c r="AJ724" s="30">
        <f>93357.95+28759.24+16630.53</f>
        <v>138747.72</v>
      </c>
    </row>
    <row r="725" spans="1:109" ht="378" x14ac:dyDescent="0.25">
      <c r="A725" s="6">
        <v>722</v>
      </c>
      <c r="B725" s="31">
        <v>113039</v>
      </c>
      <c r="C725" s="31">
        <v>200</v>
      </c>
      <c r="D725" s="11" t="s">
        <v>143</v>
      </c>
      <c r="E725" s="24" t="s">
        <v>270</v>
      </c>
      <c r="F725" s="67" t="s">
        <v>614</v>
      </c>
      <c r="G725" s="31" t="s">
        <v>615</v>
      </c>
      <c r="H725" s="8" t="s">
        <v>151</v>
      </c>
      <c r="I725" s="120" t="s">
        <v>616</v>
      </c>
      <c r="J725" s="25">
        <v>43291</v>
      </c>
      <c r="K725" s="25">
        <v>43779</v>
      </c>
      <c r="L725" s="26">
        <f t="shared" si="260"/>
        <v>82.30418382046426</v>
      </c>
      <c r="M725" s="11" t="s">
        <v>272</v>
      </c>
      <c r="N725" s="11" t="s">
        <v>231</v>
      </c>
      <c r="O725" s="11" t="s">
        <v>617</v>
      </c>
      <c r="P725" s="27" t="s">
        <v>274</v>
      </c>
      <c r="Q725" s="11" t="s">
        <v>34</v>
      </c>
      <c r="R725" s="2">
        <f t="shared" si="272"/>
        <v>812437.94000000006</v>
      </c>
      <c r="S725" s="2">
        <v>655160.41</v>
      </c>
      <c r="T725" s="2">
        <v>157277.53</v>
      </c>
      <c r="U725" s="2">
        <f t="shared" si="270"/>
        <v>154935.91999999998</v>
      </c>
      <c r="V725" s="28">
        <v>115616.54</v>
      </c>
      <c r="W725" s="28">
        <v>39319.379999999997</v>
      </c>
      <c r="X725" s="2">
        <f t="shared" si="267"/>
        <v>0</v>
      </c>
      <c r="Y725" s="2">
        <v>0</v>
      </c>
      <c r="Z725" s="2">
        <v>0</v>
      </c>
      <c r="AA725" s="2">
        <f t="shared" si="268"/>
        <v>19742.349999999999</v>
      </c>
      <c r="AB725" s="2">
        <v>15730.16</v>
      </c>
      <c r="AC725" s="2">
        <v>4012.19</v>
      </c>
      <c r="AD725" s="16">
        <f t="shared" si="271"/>
        <v>987116.21000000008</v>
      </c>
      <c r="AE725" s="2">
        <v>0</v>
      </c>
      <c r="AF725" s="2">
        <f t="shared" si="269"/>
        <v>987116.21000000008</v>
      </c>
      <c r="AG725" s="21" t="s">
        <v>857</v>
      </c>
      <c r="AH725" s="29" t="s">
        <v>1301</v>
      </c>
      <c r="AI725" s="30">
        <f>98711.62+82894.54-376.83+73798.02+80976.74+185141.28+260525.68-19533.72</f>
        <v>762137.33000000007</v>
      </c>
      <c r="AJ725" s="30">
        <f>15808.4+376.83+15333.49+13734.08+35307.36+49683.52+15099.61</f>
        <v>145343.28999999998</v>
      </c>
    </row>
    <row r="726" spans="1:109" ht="141.75" x14ac:dyDescent="0.25">
      <c r="A726" s="6">
        <v>723</v>
      </c>
      <c r="B726" s="31">
        <v>113125</v>
      </c>
      <c r="C726" s="31">
        <v>230</v>
      </c>
      <c r="D726" s="11" t="s">
        <v>143</v>
      </c>
      <c r="E726" s="24" t="s">
        <v>270</v>
      </c>
      <c r="F726" s="67" t="s">
        <v>621</v>
      </c>
      <c r="G726" s="11" t="s">
        <v>622</v>
      </c>
      <c r="H726" s="8" t="s">
        <v>151</v>
      </c>
      <c r="I726" s="32" t="s">
        <v>623</v>
      </c>
      <c r="J726" s="25">
        <v>43291</v>
      </c>
      <c r="K726" s="25">
        <v>43718</v>
      </c>
      <c r="L726" s="26">
        <f t="shared" si="260"/>
        <v>82.304188716846156</v>
      </c>
      <c r="M726" s="11" t="s">
        <v>272</v>
      </c>
      <c r="N726" s="11" t="s">
        <v>261</v>
      </c>
      <c r="O726" s="11" t="s">
        <v>261</v>
      </c>
      <c r="P726" s="27" t="s">
        <v>274</v>
      </c>
      <c r="Q726" s="11" t="s">
        <v>34</v>
      </c>
      <c r="R726" s="2">
        <f t="shared" si="272"/>
        <v>736342.77</v>
      </c>
      <c r="S726" s="2">
        <v>593796.28</v>
      </c>
      <c r="T726" s="2">
        <v>142546.49</v>
      </c>
      <c r="U726" s="2">
        <f t="shared" si="270"/>
        <v>140424.16999999998</v>
      </c>
      <c r="V726" s="28">
        <v>104787.58</v>
      </c>
      <c r="W726" s="28">
        <v>35636.589999999997</v>
      </c>
      <c r="X726" s="2">
        <f t="shared" si="267"/>
        <v>0</v>
      </c>
      <c r="Y726" s="2">
        <v>0</v>
      </c>
      <c r="Z726" s="2">
        <v>0</v>
      </c>
      <c r="AA726" s="2">
        <f t="shared" si="268"/>
        <v>17893.2</v>
      </c>
      <c r="AB726" s="2">
        <v>14256.8</v>
      </c>
      <c r="AC726" s="2">
        <v>3636.4</v>
      </c>
      <c r="AD726" s="16">
        <f t="shared" si="271"/>
        <v>894660.1399999999</v>
      </c>
      <c r="AE726" s="2">
        <v>0</v>
      </c>
      <c r="AF726" s="2">
        <f t="shared" si="269"/>
        <v>894660.1399999999</v>
      </c>
      <c r="AG726" s="21" t="s">
        <v>857</v>
      </c>
      <c r="AH726" s="29" t="s">
        <v>358</v>
      </c>
      <c r="AI726" s="30">
        <f>431197.76+67607.74</f>
        <v>498805.5</v>
      </c>
      <c r="AJ726" s="30">
        <f>81263.8+12893.14</f>
        <v>94156.94</v>
      </c>
    </row>
    <row r="727" spans="1:109" ht="157.5" x14ac:dyDescent="0.25">
      <c r="A727" s="6">
        <v>724</v>
      </c>
      <c r="B727" s="31">
        <v>112435</v>
      </c>
      <c r="C727" s="31">
        <v>323</v>
      </c>
      <c r="D727" s="11" t="s">
        <v>143</v>
      </c>
      <c r="E727" s="24" t="s">
        <v>270</v>
      </c>
      <c r="F727" s="67" t="s">
        <v>1906</v>
      </c>
      <c r="G727" s="11" t="s">
        <v>624</v>
      </c>
      <c r="H727" s="11" t="s">
        <v>625</v>
      </c>
      <c r="I727" s="120" t="s">
        <v>2951</v>
      </c>
      <c r="J727" s="25">
        <v>43292</v>
      </c>
      <c r="K727" s="25">
        <v>43780</v>
      </c>
      <c r="L727" s="26">
        <f t="shared" si="260"/>
        <v>82.304182891954625</v>
      </c>
      <c r="M727" s="11" t="s">
        <v>272</v>
      </c>
      <c r="N727" s="11" t="s">
        <v>280</v>
      </c>
      <c r="O727" s="11" t="s">
        <v>280</v>
      </c>
      <c r="P727" s="27" t="s">
        <v>274</v>
      </c>
      <c r="Q727" s="11" t="s">
        <v>34</v>
      </c>
      <c r="R727" s="2">
        <f t="shared" si="272"/>
        <v>815316.89</v>
      </c>
      <c r="S727" s="2">
        <v>657481.98</v>
      </c>
      <c r="T727" s="2">
        <v>157834.91</v>
      </c>
      <c r="U727" s="2">
        <f t="shared" si="270"/>
        <v>155484.97999999998</v>
      </c>
      <c r="V727" s="28">
        <v>116026.31</v>
      </c>
      <c r="W727" s="28">
        <v>39458.67</v>
      </c>
      <c r="X727" s="2">
        <f t="shared" si="267"/>
        <v>0</v>
      </c>
      <c r="Y727" s="2">
        <v>0</v>
      </c>
      <c r="Z727" s="2">
        <v>0</v>
      </c>
      <c r="AA727" s="2">
        <f t="shared" si="268"/>
        <v>19812.29</v>
      </c>
      <c r="AB727" s="2">
        <v>15785.9</v>
      </c>
      <c r="AC727" s="2">
        <v>4026.39</v>
      </c>
      <c r="AD727" s="16">
        <f t="shared" si="271"/>
        <v>990614.16</v>
      </c>
      <c r="AE727" s="2"/>
      <c r="AF727" s="2">
        <f t="shared" si="269"/>
        <v>990614.16</v>
      </c>
      <c r="AG727" s="21" t="s">
        <v>857</v>
      </c>
      <c r="AH727" s="29" t="s">
        <v>1143</v>
      </c>
      <c r="AI727" s="30">
        <f>694001.82-8054.22</f>
        <v>685947.6</v>
      </c>
      <c r="AJ727" s="30">
        <f>15703.63+42154.87+5183.15+19792.72+39704.75+8274.46</f>
        <v>130813.57999999999</v>
      </c>
    </row>
    <row r="728" spans="1:109" ht="141.75" x14ac:dyDescent="0.25">
      <c r="A728" s="6">
        <v>725</v>
      </c>
      <c r="B728" s="31">
        <v>110839</v>
      </c>
      <c r="C728" s="31">
        <v>306</v>
      </c>
      <c r="D728" s="11" t="s">
        <v>143</v>
      </c>
      <c r="E728" s="24" t="s">
        <v>270</v>
      </c>
      <c r="F728" s="67" t="s">
        <v>626</v>
      </c>
      <c r="G728" s="11" t="s">
        <v>627</v>
      </c>
      <c r="H728" s="11" t="s">
        <v>629</v>
      </c>
      <c r="I728" s="32" t="s">
        <v>628</v>
      </c>
      <c r="J728" s="25">
        <v>43292</v>
      </c>
      <c r="K728" s="25">
        <v>43993</v>
      </c>
      <c r="L728" s="26">
        <f t="shared" si="260"/>
        <v>82.304186604752402</v>
      </c>
      <c r="M728" s="11" t="s">
        <v>272</v>
      </c>
      <c r="N728" s="11" t="s">
        <v>630</v>
      </c>
      <c r="O728" s="11" t="s">
        <v>630</v>
      </c>
      <c r="P728" s="27" t="s">
        <v>274</v>
      </c>
      <c r="Q728" s="11" t="s">
        <v>34</v>
      </c>
      <c r="R728" s="2">
        <f t="shared" si="272"/>
        <v>800537.35</v>
      </c>
      <c r="S728" s="2">
        <v>645563.62</v>
      </c>
      <c r="T728" s="2">
        <v>154973.73000000001</v>
      </c>
      <c r="U728" s="2">
        <f t="shared" si="270"/>
        <v>152666.38</v>
      </c>
      <c r="V728" s="28">
        <v>113922.98</v>
      </c>
      <c r="W728" s="28">
        <v>38743.4</v>
      </c>
      <c r="X728" s="2">
        <f t="shared" si="267"/>
        <v>0</v>
      </c>
      <c r="Y728" s="2">
        <v>0</v>
      </c>
      <c r="Z728" s="2">
        <v>0</v>
      </c>
      <c r="AA728" s="2">
        <f t="shared" si="268"/>
        <v>19453.169999999998</v>
      </c>
      <c r="AB728" s="2">
        <v>15499.74</v>
      </c>
      <c r="AC728" s="2">
        <v>3953.43</v>
      </c>
      <c r="AD728" s="16">
        <f t="shared" si="271"/>
        <v>972656.9</v>
      </c>
      <c r="AE728" s="2"/>
      <c r="AF728" s="2">
        <f t="shared" si="269"/>
        <v>972656.9</v>
      </c>
      <c r="AG728" s="38" t="s">
        <v>857</v>
      </c>
      <c r="AH728" s="29" t="s">
        <v>1376</v>
      </c>
      <c r="AI728" s="30">
        <f>655019.55+13323.41+14688.82</f>
        <v>683031.78</v>
      </c>
      <c r="AJ728" s="30">
        <f>124915.36+2540.83+2801.24</f>
        <v>130257.43000000001</v>
      </c>
    </row>
    <row r="729" spans="1:109" ht="141.75" x14ac:dyDescent="0.25">
      <c r="A729" s="6">
        <v>726</v>
      </c>
      <c r="B729" s="31">
        <v>115895</v>
      </c>
      <c r="C729" s="31">
        <v>389</v>
      </c>
      <c r="D729" s="138" t="s">
        <v>143</v>
      </c>
      <c r="E729" s="139" t="s">
        <v>373</v>
      </c>
      <c r="F729" s="67" t="s">
        <v>634</v>
      </c>
      <c r="G729" s="11" t="s">
        <v>1702</v>
      </c>
      <c r="H729" s="11" t="s">
        <v>635</v>
      </c>
      <c r="I729" s="120" t="s">
        <v>2952</v>
      </c>
      <c r="J729" s="25">
        <v>43293</v>
      </c>
      <c r="K729" s="25">
        <v>45211</v>
      </c>
      <c r="L729" s="26">
        <f t="shared" si="260"/>
        <v>83.983864548494978</v>
      </c>
      <c r="M729" s="11" t="s">
        <v>272</v>
      </c>
      <c r="N729" s="11" t="s">
        <v>261</v>
      </c>
      <c r="O729" s="11" t="s">
        <v>261</v>
      </c>
      <c r="P729" s="27" t="s">
        <v>138</v>
      </c>
      <c r="Q729" s="11" t="s">
        <v>34</v>
      </c>
      <c r="R729" s="2">
        <f t="shared" si="272"/>
        <v>2511117.5499999998</v>
      </c>
      <c r="S729" s="2">
        <v>2024997.51</v>
      </c>
      <c r="T729" s="2">
        <v>486120.04</v>
      </c>
      <c r="U729" s="2">
        <f t="shared" si="270"/>
        <v>0</v>
      </c>
      <c r="V729" s="28"/>
      <c r="W729" s="28"/>
      <c r="X729" s="2">
        <f t="shared" si="267"/>
        <v>478882.44999999995</v>
      </c>
      <c r="Y729" s="2">
        <v>357352.47</v>
      </c>
      <c r="Z729" s="2">
        <v>121529.98</v>
      </c>
      <c r="AA729" s="2">
        <f t="shared" si="268"/>
        <v>0</v>
      </c>
      <c r="AB729" s="2">
        <v>0</v>
      </c>
      <c r="AC729" s="2">
        <v>0</v>
      </c>
      <c r="AD729" s="16">
        <f t="shared" si="271"/>
        <v>2990000</v>
      </c>
      <c r="AE729" s="2">
        <v>0</v>
      </c>
      <c r="AF729" s="2">
        <f t="shared" si="269"/>
        <v>2990000</v>
      </c>
      <c r="AG729" s="38" t="s">
        <v>486</v>
      </c>
      <c r="AH729" s="29" t="s">
        <v>3283</v>
      </c>
      <c r="AI729" s="30">
        <f>1101841.06+308901.88+307109.67+140785.22+76589.93+88067.17+24784.49+9172.74+7398.66+72760.84</f>
        <v>2137411.6599999997</v>
      </c>
      <c r="AJ729" s="30">
        <v>0</v>
      </c>
    </row>
    <row r="730" spans="1:109" ht="267.75" x14ac:dyDescent="0.25">
      <c r="A730" s="6">
        <v>727</v>
      </c>
      <c r="B730" s="31">
        <v>111830</v>
      </c>
      <c r="C730" s="31">
        <v>377</v>
      </c>
      <c r="D730" s="97" t="s">
        <v>1640</v>
      </c>
      <c r="E730" s="139" t="s">
        <v>528</v>
      </c>
      <c r="F730" s="67" t="s">
        <v>1632</v>
      </c>
      <c r="G730" s="11" t="s">
        <v>636</v>
      </c>
      <c r="H730" s="11" t="s">
        <v>637</v>
      </c>
      <c r="I730" s="120" t="s">
        <v>638</v>
      </c>
      <c r="J730" s="25">
        <v>43297</v>
      </c>
      <c r="K730" s="25">
        <v>43906</v>
      </c>
      <c r="L730" s="26">
        <f t="shared" si="260"/>
        <v>83.143853842955224</v>
      </c>
      <c r="M730" s="11" t="s">
        <v>272</v>
      </c>
      <c r="N730" s="11" t="s">
        <v>261</v>
      </c>
      <c r="O730" s="11" t="s">
        <v>261</v>
      </c>
      <c r="P730" s="27" t="s">
        <v>138</v>
      </c>
      <c r="Q730" s="11" t="s">
        <v>34</v>
      </c>
      <c r="R730" s="2">
        <f t="shared" si="272"/>
        <v>5525318.4299999997</v>
      </c>
      <c r="S730" s="2">
        <v>4455687.8899999997</v>
      </c>
      <c r="T730" s="2">
        <v>1069630.54</v>
      </c>
      <c r="U730" s="2">
        <f t="shared" si="270"/>
        <v>987264.11999999988</v>
      </c>
      <c r="V730" s="28">
        <v>733359.19</v>
      </c>
      <c r="W730" s="28">
        <v>253904.93</v>
      </c>
      <c r="X730" s="2">
        <f t="shared" si="267"/>
        <v>0</v>
      </c>
      <c r="Y730" s="2">
        <v>0</v>
      </c>
      <c r="Z730" s="2">
        <v>0</v>
      </c>
      <c r="AA730" s="2">
        <f t="shared" si="268"/>
        <v>132909.78</v>
      </c>
      <c r="AB730" s="2">
        <v>105898.92</v>
      </c>
      <c r="AC730" s="2">
        <v>27010.86</v>
      </c>
      <c r="AD730" s="16">
        <f t="shared" si="271"/>
        <v>6645492.3300000001</v>
      </c>
      <c r="AE730" s="2">
        <v>0</v>
      </c>
      <c r="AF730" s="2">
        <f t="shared" si="269"/>
        <v>6645492.3300000001</v>
      </c>
      <c r="AG730" s="38" t="s">
        <v>857</v>
      </c>
      <c r="AH730" s="29" t="s">
        <v>1365</v>
      </c>
      <c r="AI730" s="30">
        <v>4546741.8800000018</v>
      </c>
      <c r="AJ730" s="30">
        <v>805170.18000000028</v>
      </c>
    </row>
    <row r="731" spans="1:109" ht="267.75" x14ac:dyDescent="0.25">
      <c r="A731" s="6">
        <v>728</v>
      </c>
      <c r="B731" s="31">
        <v>126528</v>
      </c>
      <c r="C731" s="31">
        <v>496</v>
      </c>
      <c r="D731" s="97" t="s">
        <v>1640</v>
      </c>
      <c r="E731" s="32" t="s">
        <v>983</v>
      </c>
      <c r="F731" s="31" t="s">
        <v>1024</v>
      </c>
      <c r="G731" s="11" t="s">
        <v>1023</v>
      </c>
      <c r="H731" s="11" t="s">
        <v>1028</v>
      </c>
      <c r="I731" s="134" t="s">
        <v>2953</v>
      </c>
      <c r="J731" s="25">
        <v>43552</v>
      </c>
      <c r="K731" s="25">
        <v>44283</v>
      </c>
      <c r="L731" s="26">
        <f t="shared" si="260"/>
        <v>83.538686217523377</v>
      </c>
      <c r="M731" s="11" t="s">
        <v>1025</v>
      </c>
      <c r="N731" s="11" t="s">
        <v>1026</v>
      </c>
      <c r="O731" s="11" t="s">
        <v>1026</v>
      </c>
      <c r="P731" s="11" t="s">
        <v>274</v>
      </c>
      <c r="Q731" s="11" t="s">
        <v>34</v>
      </c>
      <c r="R731" s="30">
        <f t="shared" si="272"/>
        <v>1949308.98</v>
      </c>
      <c r="S731" s="93">
        <v>1949308.98</v>
      </c>
      <c r="T731" s="34">
        <v>0</v>
      </c>
      <c r="U731" s="30">
        <f t="shared" si="270"/>
        <v>337443.27</v>
      </c>
      <c r="V731" s="42">
        <v>337443.27</v>
      </c>
      <c r="W731" s="42">
        <v>0</v>
      </c>
      <c r="X731" s="30">
        <f t="shared" si="267"/>
        <v>6552.42</v>
      </c>
      <c r="Y731" s="93">
        <v>6552.42</v>
      </c>
      <c r="Z731" s="34">
        <v>0</v>
      </c>
      <c r="AA731" s="2">
        <f t="shared" si="268"/>
        <v>40116.009999999995</v>
      </c>
      <c r="AB731" s="93">
        <f>23632.16+16483.85</f>
        <v>40116.009999999995</v>
      </c>
      <c r="AC731" s="34">
        <v>0</v>
      </c>
      <c r="AD731" s="16">
        <f t="shared" si="271"/>
        <v>2333420.6799999997</v>
      </c>
      <c r="AE731" s="35">
        <v>0</v>
      </c>
      <c r="AF731" s="2">
        <f t="shared" si="269"/>
        <v>2333420.6799999997</v>
      </c>
      <c r="AG731" s="38" t="s">
        <v>857</v>
      </c>
      <c r="AH731" s="35" t="s">
        <v>151</v>
      </c>
      <c r="AI731" s="30">
        <f>1124643.02+142130.56+141973.95+153503.61+152349.68+121455.81-7033.67-26450.13</f>
        <v>1802572.8300000003</v>
      </c>
      <c r="AJ731" s="30">
        <f>154526.42+24578.05+24562.15+26694.06+26553.69+25966.76+30122.6</f>
        <v>313003.73</v>
      </c>
    </row>
    <row r="732" spans="1:109" ht="141.75" x14ac:dyDescent="0.25">
      <c r="A732" s="6">
        <v>729</v>
      </c>
      <c r="B732" s="31">
        <v>109927</v>
      </c>
      <c r="C732" s="31">
        <v>334</v>
      </c>
      <c r="D732" s="11" t="s">
        <v>143</v>
      </c>
      <c r="E732" s="24" t="s">
        <v>270</v>
      </c>
      <c r="F732" s="67" t="s">
        <v>640</v>
      </c>
      <c r="G732" s="11" t="s">
        <v>641</v>
      </c>
      <c r="H732" s="8" t="s">
        <v>151</v>
      </c>
      <c r="I732" s="120" t="s">
        <v>642</v>
      </c>
      <c r="J732" s="25">
        <v>43297</v>
      </c>
      <c r="K732" s="25">
        <v>43785</v>
      </c>
      <c r="L732" s="26">
        <f t="shared" ref="L732:L793" si="273">R732/AD732*100</f>
        <v>82.304185890830638</v>
      </c>
      <c r="M732" s="11" t="s">
        <v>272</v>
      </c>
      <c r="N732" s="11" t="s">
        <v>261</v>
      </c>
      <c r="O732" s="11" t="s">
        <v>261</v>
      </c>
      <c r="P732" s="27" t="s">
        <v>138</v>
      </c>
      <c r="Q732" s="11" t="s">
        <v>34</v>
      </c>
      <c r="R732" s="2">
        <f t="shared" si="272"/>
        <v>793991.64999999991</v>
      </c>
      <c r="S732" s="2">
        <v>640285.07999999996</v>
      </c>
      <c r="T732" s="2">
        <v>153706.57</v>
      </c>
      <c r="U732" s="2">
        <f t="shared" si="270"/>
        <v>151418.12</v>
      </c>
      <c r="V732" s="28">
        <v>112991.49</v>
      </c>
      <c r="W732" s="28">
        <v>38426.629999999997</v>
      </c>
      <c r="X732" s="2">
        <f t="shared" ref="X732:X763" si="274">Y732+Z732</f>
        <v>0</v>
      </c>
      <c r="Y732" s="2">
        <v>0</v>
      </c>
      <c r="Z732" s="2">
        <v>0</v>
      </c>
      <c r="AA732" s="2">
        <f t="shared" ref="AA732:AA763" si="275">AB732+AC732</f>
        <v>19294.080000000002</v>
      </c>
      <c r="AB732" s="2">
        <v>15373</v>
      </c>
      <c r="AC732" s="2">
        <v>3921.08</v>
      </c>
      <c r="AD732" s="16">
        <f t="shared" si="271"/>
        <v>964703.84999999986</v>
      </c>
      <c r="AE732" s="2">
        <v>0</v>
      </c>
      <c r="AF732" s="2">
        <f t="shared" ref="AF732:AF763" si="276">AD732+AE732</f>
        <v>964703.84999999986</v>
      </c>
      <c r="AG732" s="21" t="s">
        <v>857</v>
      </c>
      <c r="AH732" s="29" t="s">
        <v>1320</v>
      </c>
      <c r="AI732" s="30">
        <f>402453.38+117377.22+258590.23+5842.52</f>
        <v>784263.35</v>
      </c>
      <c r="AJ732" s="30">
        <f>14469.9+11972.92+31909.61+40781.81+49314.41+1114.21</f>
        <v>149562.85999999999</v>
      </c>
    </row>
    <row r="733" spans="1:109" ht="189" x14ac:dyDescent="0.25">
      <c r="A733" s="6">
        <v>730</v>
      </c>
      <c r="B733" s="31">
        <v>111446</v>
      </c>
      <c r="C733" s="31">
        <v>161</v>
      </c>
      <c r="D733" s="11" t="s">
        <v>143</v>
      </c>
      <c r="E733" s="24" t="s">
        <v>270</v>
      </c>
      <c r="F733" s="67" t="s">
        <v>643</v>
      </c>
      <c r="G733" s="11" t="s">
        <v>644</v>
      </c>
      <c r="H733" s="8" t="s">
        <v>151</v>
      </c>
      <c r="I733" s="12" t="s">
        <v>645</v>
      </c>
      <c r="J733" s="25">
        <v>43297</v>
      </c>
      <c r="K733" s="25">
        <v>43785</v>
      </c>
      <c r="L733" s="26">
        <f t="shared" si="273"/>
        <v>82.304180439174772</v>
      </c>
      <c r="M733" s="11" t="s">
        <v>272</v>
      </c>
      <c r="N733" s="11" t="s">
        <v>261</v>
      </c>
      <c r="O733" s="11" t="s">
        <v>261</v>
      </c>
      <c r="P733" s="27" t="s">
        <v>274</v>
      </c>
      <c r="Q733" s="11" t="s">
        <v>34</v>
      </c>
      <c r="R733" s="2">
        <f t="shared" si="272"/>
        <v>820476.63</v>
      </c>
      <c r="S733" s="2">
        <v>661642.92000000004</v>
      </c>
      <c r="T733" s="2">
        <v>158833.71</v>
      </c>
      <c r="U733" s="2">
        <f t="shared" si="270"/>
        <v>156469</v>
      </c>
      <c r="V733" s="28">
        <v>116760.53</v>
      </c>
      <c r="W733" s="28">
        <v>39708.47</v>
      </c>
      <c r="X733" s="2">
        <f t="shared" si="274"/>
        <v>0</v>
      </c>
      <c r="Y733" s="2">
        <v>0</v>
      </c>
      <c r="Z733" s="2">
        <v>0</v>
      </c>
      <c r="AA733" s="2">
        <f t="shared" si="275"/>
        <v>19937.669999999998</v>
      </c>
      <c r="AB733" s="2">
        <v>15885.81</v>
      </c>
      <c r="AC733" s="2">
        <v>4051.86</v>
      </c>
      <c r="AD733" s="16">
        <f t="shared" si="271"/>
        <v>996883.3</v>
      </c>
      <c r="AE733" s="2"/>
      <c r="AF733" s="2">
        <f t="shared" si="276"/>
        <v>996883.3</v>
      </c>
      <c r="AG733" s="21" t="s">
        <v>857</v>
      </c>
      <c r="AH733" s="29" t="s">
        <v>294</v>
      </c>
      <c r="AI733" s="30">
        <f>172463.58+91295.09-2619.6+99688.33+6676.64+99688.33+83929.71+100258.16+75790.79</f>
        <v>727171.03</v>
      </c>
      <c r="AJ733" s="30">
        <f>13878.6+17410.43+18511.49+20284.35+16005.79+38130.79+14453.69</f>
        <v>138675.14000000001</v>
      </c>
    </row>
    <row r="734" spans="1:109" ht="141.75" x14ac:dyDescent="0.25">
      <c r="A734" s="6">
        <v>731</v>
      </c>
      <c r="B734" s="31">
        <v>111890</v>
      </c>
      <c r="C734" s="31">
        <v>249</v>
      </c>
      <c r="D734" s="11" t="s">
        <v>143</v>
      </c>
      <c r="E734" s="24" t="s">
        <v>270</v>
      </c>
      <c r="F734" s="67" t="s">
        <v>664</v>
      </c>
      <c r="G734" s="11" t="s">
        <v>665</v>
      </c>
      <c r="H734" s="11" t="s">
        <v>666</v>
      </c>
      <c r="I734" s="12" t="s">
        <v>2954</v>
      </c>
      <c r="J734" s="25">
        <v>43301</v>
      </c>
      <c r="K734" s="25">
        <v>43789</v>
      </c>
      <c r="L734" s="26">
        <f t="shared" si="273"/>
        <v>82.304184196855573</v>
      </c>
      <c r="M734" s="11" t="s">
        <v>272</v>
      </c>
      <c r="N734" s="11" t="s">
        <v>361</v>
      </c>
      <c r="O734" s="11" t="s">
        <v>361</v>
      </c>
      <c r="P734" s="27" t="s">
        <v>274</v>
      </c>
      <c r="Q734" s="11" t="s">
        <v>34</v>
      </c>
      <c r="R734" s="2">
        <f t="shared" si="272"/>
        <v>729395.17</v>
      </c>
      <c r="S734" s="2">
        <v>588193.66</v>
      </c>
      <c r="T734" s="2">
        <v>141201.51</v>
      </c>
      <c r="U734" s="2">
        <f t="shared" si="270"/>
        <v>139099.28</v>
      </c>
      <c r="V734" s="28">
        <v>103798.89</v>
      </c>
      <c r="W734" s="28">
        <v>35300.39</v>
      </c>
      <c r="X734" s="2">
        <f t="shared" si="274"/>
        <v>0</v>
      </c>
      <c r="Y734" s="2">
        <v>0</v>
      </c>
      <c r="Z734" s="2">
        <v>0</v>
      </c>
      <c r="AA734" s="2">
        <f t="shared" si="275"/>
        <v>17724.370000000003</v>
      </c>
      <c r="AB734" s="2">
        <v>14122.29</v>
      </c>
      <c r="AC734" s="2">
        <v>3602.08</v>
      </c>
      <c r="AD734" s="16">
        <f t="shared" si="271"/>
        <v>886218.82000000007</v>
      </c>
      <c r="AE734" s="2">
        <v>0</v>
      </c>
      <c r="AF734" s="2">
        <f t="shared" si="276"/>
        <v>886218.82000000007</v>
      </c>
      <c r="AG734" s="21" t="s">
        <v>857</v>
      </c>
      <c r="AH734" s="29" t="s">
        <v>1277</v>
      </c>
      <c r="AI734" s="30">
        <f>416218.9+121145.8+152202.09-7471.8-36155.33</f>
        <v>645939.66</v>
      </c>
      <c r="AJ734" s="30">
        <f>14022.63+14374.66+9282.27+24787.75+23442.2+29025.69+8248.64</f>
        <v>123183.84</v>
      </c>
    </row>
    <row r="735" spans="1:109" ht="252" x14ac:dyDescent="0.25">
      <c r="A735" s="6">
        <v>732</v>
      </c>
      <c r="B735" s="31">
        <v>126511</v>
      </c>
      <c r="C735" s="31">
        <v>499</v>
      </c>
      <c r="D735" s="97" t="s">
        <v>1640</v>
      </c>
      <c r="E735" s="32" t="s">
        <v>983</v>
      </c>
      <c r="F735" s="11" t="s">
        <v>1011</v>
      </c>
      <c r="G735" s="11" t="s">
        <v>1012</v>
      </c>
      <c r="H735" s="8" t="s">
        <v>151</v>
      </c>
      <c r="I735" s="46" t="s">
        <v>1015</v>
      </c>
      <c r="J735" s="25">
        <v>43535</v>
      </c>
      <c r="K735" s="25">
        <v>44266</v>
      </c>
      <c r="L735" s="26">
        <f t="shared" si="273"/>
        <v>83.300000000000011</v>
      </c>
      <c r="M735" s="11" t="s">
        <v>1014</v>
      </c>
      <c r="N735" s="11" t="s">
        <v>1013</v>
      </c>
      <c r="O735" s="11" t="s">
        <v>1013</v>
      </c>
      <c r="P735" s="11" t="s">
        <v>274</v>
      </c>
      <c r="Q735" s="11" t="s">
        <v>34</v>
      </c>
      <c r="R735" s="30">
        <f t="shared" si="272"/>
        <v>2060383.85</v>
      </c>
      <c r="S735" s="2">
        <v>2060383.85</v>
      </c>
      <c r="T735" s="2">
        <v>0</v>
      </c>
      <c r="U735" s="30">
        <f t="shared" si="270"/>
        <v>363597.15</v>
      </c>
      <c r="V735" s="28">
        <v>363597.15</v>
      </c>
      <c r="W735" s="28">
        <v>0</v>
      </c>
      <c r="X735" s="30">
        <f t="shared" si="274"/>
        <v>0</v>
      </c>
      <c r="Y735" s="2">
        <v>0</v>
      </c>
      <c r="Z735" s="2">
        <v>0</v>
      </c>
      <c r="AA735" s="2">
        <f t="shared" si="275"/>
        <v>49469</v>
      </c>
      <c r="AB735" s="2">
        <v>49469</v>
      </c>
      <c r="AC735" s="2">
        <v>0</v>
      </c>
      <c r="AD735" s="16">
        <f t="shared" si="271"/>
        <v>2473450</v>
      </c>
      <c r="AE735" s="2">
        <v>0</v>
      </c>
      <c r="AF735" s="2">
        <f t="shared" si="276"/>
        <v>2473450</v>
      </c>
      <c r="AG735" s="38" t="s">
        <v>857</v>
      </c>
      <c r="AH735" s="29" t="s">
        <v>151</v>
      </c>
      <c r="AI735" s="30">
        <f>223418.82+247345-25227.12+247345+167983.62+12080.39+247345+335959.73+30394.68+247345+30380.57+158425.78</f>
        <v>1922796.47</v>
      </c>
      <c r="AJ735" s="30">
        <f>23926.18+54697.96+29644.16+45780.91+59287.01+49012.9+49010.35+27957.48</f>
        <v>339316.95</v>
      </c>
      <c r="AK735" s="43"/>
      <c r="AL735" s="43"/>
      <c r="AM735" s="43"/>
      <c r="AN735" s="43"/>
      <c r="AO735" s="43"/>
      <c r="AP735" s="43"/>
      <c r="AQ735" s="43"/>
      <c r="AR735" s="43"/>
      <c r="AS735" s="43"/>
      <c r="AT735" s="43"/>
      <c r="AU735" s="43"/>
      <c r="AV735" s="43"/>
      <c r="AW735" s="43"/>
      <c r="AX735" s="43"/>
      <c r="AY735" s="43"/>
      <c r="AZ735" s="43"/>
      <c r="BA735" s="43"/>
      <c r="BB735" s="43"/>
      <c r="BC735" s="43"/>
      <c r="BD735" s="43"/>
      <c r="BE735" s="43"/>
      <c r="BF735" s="43"/>
      <c r="BG735" s="43"/>
      <c r="BH735" s="43"/>
      <c r="BI735" s="43"/>
      <c r="BJ735" s="43"/>
      <c r="BK735" s="43"/>
      <c r="BL735" s="43"/>
      <c r="BM735" s="43"/>
      <c r="BN735" s="43"/>
      <c r="BO735" s="43"/>
      <c r="BP735" s="43"/>
      <c r="BQ735" s="43"/>
      <c r="BR735" s="43"/>
      <c r="BS735" s="43"/>
      <c r="BT735" s="43"/>
      <c r="BU735" s="43"/>
      <c r="BV735" s="43"/>
      <c r="BW735" s="43"/>
      <c r="BX735" s="43"/>
      <c r="BY735" s="43"/>
      <c r="BZ735" s="43"/>
      <c r="CA735" s="43"/>
      <c r="CB735" s="43"/>
      <c r="CC735" s="43"/>
      <c r="CD735" s="43"/>
      <c r="CE735" s="43"/>
      <c r="CF735" s="43"/>
      <c r="CG735" s="43"/>
      <c r="CH735" s="43"/>
      <c r="CI735" s="43"/>
      <c r="CJ735" s="43"/>
      <c r="CK735" s="43"/>
      <c r="CL735" s="43"/>
      <c r="CM735" s="43"/>
      <c r="CN735" s="43"/>
      <c r="CO735" s="43"/>
      <c r="CP735" s="43"/>
      <c r="CQ735" s="43"/>
      <c r="CR735" s="43"/>
      <c r="CS735" s="43"/>
      <c r="CT735" s="43"/>
      <c r="CU735" s="43"/>
      <c r="CV735" s="43"/>
      <c r="CW735" s="43"/>
      <c r="CX735" s="43"/>
      <c r="CY735" s="43"/>
      <c r="CZ735" s="43"/>
      <c r="DA735" s="43"/>
      <c r="DB735" s="43"/>
      <c r="DC735" s="43"/>
      <c r="DD735" s="43"/>
      <c r="DE735" s="43"/>
    </row>
    <row r="736" spans="1:109" ht="204.75" x14ac:dyDescent="0.25">
      <c r="A736" s="6">
        <v>733</v>
      </c>
      <c r="B736" s="31">
        <v>113123</v>
      </c>
      <c r="C736" s="31">
        <v>217</v>
      </c>
      <c r="D736" s="11" t="s">
        <v>143</v>
      </c>
      <c r="E736" s="24" t="s">
        <v>270</v>
      </c>
      <c r="F736" s="11" t="s">
        <v>1907</v>
      </c>
      <c r="G736" s="11" t="s">
        <v>687</v>
      </c>
      <c r="H736" s="8" t="s">
        <v>151</v>
      </c>
      <c r="I736" s="120" t="s">
        <v>688</v>
      </c>
      <c r="J736" s="25">
        <v>43312</v>
      </c>
      <c r="K736" s="25">
        <v>44012</v>
      </c>
      <c r="L736" s="26">
        <f t="shared" si="273"/>
        <v>82.304192539701532</v>
      </c>
      <c r="M736" s="11" t="s">
        <v>272</v>
      </c>
      <c r="N736" s="11" t="s">
        <v>261</v>
      </c>
      <c r="O736" s="11" t="s">
        <v>261</v>
      </c>
      <c r="P736" s="27" t="s">
        <v>274</v>
      </c>
      <c r="Q736" s="11" t="s">
        <v>34</v>
      </c>
      <c r="R736" s="2">
        <f t="shared" si="272"/>
        <v>457182.16000000003</v>
      </c>
      <c r="S736" s="2">
        <v>368677.58</v>
      </c>
      <c r="T736" s="2">
        <v>88504.58</v>
      </c>
      <c r="U736" s="2">
        <f t="shared" si="270"/>
        <v>87186.86</v>
      </c>
      <c r="V736" s="28">
        <v>65060.76</v>
      </c>
      <c r="W736" s="28">
        <v>22126.1</v>
      </c>
      <c r="X736" s="2">
        <f t="shared" si="274"/>
        <v>0</v>
      </c>
      <c r="Y736" s="2">
        <v>0</v>
      </c>
      <c r="Z736" s="2">
        <v>0</v>
      </c>
      <c r="AA736" s="2">
        <f t="shared" si="275"/>
        <v>11109.56</v>
      </c>
      <c r="AB736" s="2">
        <v>8851.75</v>
      </c>
      <c r="AC736" s="2">
        <v>2257.81</v>
      </c>
      <c r="AD736" s="16">
        <f t="shared" si="271"/>
        <v>555478.58000000007</v>
      </c>
      <c r="AE736" s="2"/>
      <c r="AF736" s="2">
        <f t="shared" si="276"/>
        <v>555478.58000000007</v>
      </c>
      <c r="AG736" s="38" t="s">
        <v>857</v>
      </c>
      <c r="AH736" s="29" t="s">
        <v>1518</v>
      </c>
      <c r="AI736" s="30">
        <f>290762.69+44490.67+37570.73+60763.37-29595.26</f>
        <v>403992.19999999995</v>
      </c>
      <c r="AJ736" s="30">
        <f>7748.65+9425.87-0.12+10127.9+16559.69+16272.7+10964.7+5943.9</f>
        <v>77043.289999999994</v>
      </c>
    </row>
    <row r="737" spans="1:36" ht="141.75" x14ac:dyDescent="0.25">
      <c r="A737" s="6">
        <v>734</v>
      </c>
      <c r="B737" s="31">
        <v>112769</v>
      </c>
      <c r="C737" s="31">
        <v>154</v>
      </c>
      <c r="D737" s="11" t="s">
        <v>143</v>
      </c>
      <c r="E737" s="24" t="s">
        <v>270</v>
      </c>
      <c r="F737" s="11" t="s">
        <v>698</v>
      </c>
      <c r="G737" s="11" t="s">
        <v>699</v>
      </c>
      <c r="H737" s="11" t="s">
        <v>700</v>
      </c>
      <c r="I737" s="120" t="s">
        <v>2955</v>
      </c>
      <c r="J737" s="25">
        <v>43312</v>
      </c>
      <c r="K737" s="25">
        <v>43799</v>
      </c>
      <c r="L737" s="26">
        <f t="shared" si="273"/>
        <v>82.304193908401487</v>
      </c>
      <c r="M737" s="11" t="s">
        <v>272</v>
      </c>
      <c r="N737" s="11" t="s">
        <v>261</v>
      </c>
      <c r="O737" s="11" t="s">
        <v>261</v>
      </c>
      <c r="P737" s="27" t="s">
        <v>274</v>
      </c>
      <c r="Q737" s="11" t="s">
        <v>34</v>
      </c>
      <c r="R737" s="2">
        <f t="shared" si="272"/>
        <v>810553.29</v>
      </c>
      <c r="S737" s="2">
        <v>653640.61</v>
      </c>
      <c r="T737" s="2">
        <v>156912.68</v>
      </c>
      <c r="U737" s="2">
        <f t="shared" si="270"/>
        <v>154576.41999999998</v>
      </c>
      <c r="V737" s="28">
        <v>115348.29</v>
      </c>
      <c r="W737" s="28">
        <v>39228.129999999997</v>
      </c>
      <c r="X737" s="2">
        <f t="shared" si="274"/>
        <v>0</v>
      </c>
      <c r="Y737" s="2">
        <v>0</v>
      </c>
      <c r="Z737" s="2">
        <v>0</v>
      </c>
      <c r="AA737" s="2">
        <f t="shared" si="275"/>
        <v>19696.52</v>
      </c>
      <c r="AB737" s="2">
        <v>15693.62</v>
      </c>
      <c r="AC737" s="2">
        <v>4002.9</v>
      </c>
      <c r="AD737" s="16">
        <f t="shared" si="271"/>
        <v>984826.23</v>
      </c>
      <c r="AE737" s="2"/>
      <c r="AF737" s="2">
        <f t="shared" si="276"/>
        <v>984826.23</v>
      </c>
      <c r="AG737" s="21" t="s">
        <v>857</v>
      </c>
      <c r="AH737" s="29" t="s">
        <v>151</v>
      </c>
      <c r="AI737" s="30">
        <f>505319.03+215529.97-3637.72</f>
        <v>717211.28</v>
      </c>
      <c r="AJ737" s="30">
        <f>15061.09+3.81+17176.67+17183.59+29510.05+41102.63+16737.76</f>
        <v>136775.6</v>
      </c>
    </row>
    <row r="738" spans="1:36" ht="162.75" customHeight="1" x14ac:dyDescent="0.25">
      <c r="A738" s="6">
        <v>735</v>
      </c>
      <c r="B738" s="31">
        <v>118824</v>
      </c>
      <c r="C738" s="31">
        <v>451</v>
      </c>
      <c r="D738" s="32" t="s">
        <v>1639</v>
      </c>
      <c r="E738" s="24" t="s">
        <v>523</v>
      </c>
      <c r="F738" s="67" t="s">
        <v>1908</v>
      </c>
      <c r="G738" s="11" t="s">
        <v>703</v>
      </c>
      <c r="H738" s="11" t="s">
        <v>704</v>
      </c>
      <c r="I738" s="32" t="s">
        <v>2956</v>
      </c>
      <c r="J738" s="25">
        <v>43311</v>
      </c>
      <c r="K738" s="25">
        <v>44228</v>
      </c>
      <c r="L738" s="26">
        <f t="shared" si="273"/>
        <v>83.245540797683958</v>
      </c>
      <c r="M738" s="11" t="s">
        <v>272</v>
      </c>
      <c r="N738" s="11" t="s">
        <v>261</v>
      </c>
      <c r="O738" s="11" t="s">
        <v>261</v>
      </c>
      <c r="P738" s="27" t="s">
        <v>138</v>
      </c>
      <c r="Q738" s="11" t="s">
        <v>34</v>
      </c>
      <c r="R738" s="2">
        <f t="shared" si="272"/>
        <v>3071406.8699999992</v>
      </c>
      <c r="S738" s="2">
        <v>2476821.9799999991</v>
      </c>
      <c r="T738" s="2">
        <v>594584.89000000013</v>
      </c>
      <c r="U738" s="2">
        <f t="shared" si="270"/>
        <v>254554.26</v>
      </c>
      <c r="V738" s="28">
        <v>189953.91</v>
      </c>
      <c r="W738" s="28">
        <v>64600.35</v>
      </c>
      <c r="X738" s="2">
        <f t="shared" si="274"/>
        <v>331178.18</v>
      </c>
      <c r="Y738" s="2">
        <v>247132.34</v>
      </c>
      <c r="Z738" s="2">
        <v>84045.84</v>
      </c>
      <c r="AA738" s="2">
        <f t="shared" si="275"/>
        <v>32435.940000000002</v>
      </c>
      <c r="AB738" s="2">
        <v>25844.11</v>
      </c>
      <c r="AC738" s="2">
        <v>6591.83</v>
      </c>
      <c r="AD738" s="16">
        <f t="shared" si="271"/>
        <v>3689575.2499999991</v>
      </c>
      <c r="AE738" s="2"/>
      <c r="AF738" s="2">
        <f t="shared" si="276"/>
        <v>3689575.2499999991</v>
      </c>
      <c r="AG738" s="38" t="s">
        <v>857</v>
      </c>
      <c r="AH738" s="160" t="s">
        <v>1596</v>
      </c>
      <c r="AI738" s="30">
        <f>1525625.11+35665.38+461250.33+93312.31+190744.71+123191.32+39619.9+58518.28+50395.7-17494.62</f>
        <v>2560828.4199999995</v>
      </c>
      <c r="AJ738" s="30">
        <f>127973.9+32924.82+17795.12+23493.19+12881.11+5976.01</f>
        <v>221044.15000000002</v>
      </c>
    </row>
    <row r="739" spans="1:36" ht="189" x14ac:dyDescent="0.25">
      <c r="A739" s="6">
        <v>736</v>
      </c>
      <c r="B739" s="31">
        <v>113009</v>
      </c>
      <c r="C739" s="31">
        <v>296</v>
      </c>
      <c r="D739" s="11" t="s">
        <v>143</v>
      </c>
      <c r="E739" s="24" t="s">
        <v>270</v>
      </c>
      <c r="F739" s="11" t="s">
        <v>710</v>
      </c>
      <c r="G739" s="11" t="s">
        <v>711</v>
      </c>
      <c r="H739" s="11" t="s">
        <v>712</v>
      </c>
      <c r="I739" s="33" t="s">
        <v>2957</v>
      </c>
      <c r="J739" s="25">
        <v>43318</v>
      </c>
      <c r="K739" s="25">
        <v>43775</v>
      </c>
      <c r="L739" s="26">
        <f t="shared" si="273"/>
        <v>82.304184738955826</v>
      </c>
      <c r="M739" s="11" t="s">
        <v>272</v>
      </c>
      <c r="N739" s="11" t="s">
        <v>194</v>
      </c>
      <c r="O739" s="11" t="s">
        <v>193</v>
      </c>
      <c r="P739" s="27" t="s">
        <v>274</v>
      </c>
      <c r="Q739" s="11" t="s">
        <v>34</v>
      </c>
      <c r="R739" s="2">
        <f t="shared" si="272"/>
        <v>819749.67999999993</v>
      </c>
      <c r="S739" s="2">
        <v>661056.71</v>
      </c>
      <c r="T739" s="2">
        <v>158692.97</v>
      </c>
      <c r="U739" s="2">
        <f t="shared" si="270"/>
        <v>156330.31</v>
      </c>
      <c r="V739" s="28">
        <v>116657.06</v>
      </c>
      <c r="W739" s="28">
        <v>39673.25</v>
      </c>
      <c r="X739" s="2">
        <f t="shared" si="274"/>
        <v>0</v>
      </c>
      <c r="Y739" s="2">
        <v>0</v>
      </c>
      <c r="Z739" s="2">
        <v>0</v>
      </c>
      <c r="AA739" s="2">
        <f t="shared" si="275"/>
        <v>19920.010000000002</v>
      </c>
      <c r="AB739" s="2">
        <v>15871.7</v>
      </c>
      <c r="AC739" s="2">
        <v>4048.31</v>
      </c>
      <c r="AD739" s="16">
        <f t="shared" si="271"/>
        <v>996000</v>
      </c>
      <c r="AE739" s="2"/>
      <c r="AF739" s="2">
        <f t="shared" si="276"/>
        <v>996000</v>
      </c>
      <c r="AG739" s="21" t="s">
        <v>857</v>
      </c>
      <c r="AH739" s="29" t="s">
        <v>1211</v>
      </c>
      <c r="AI739" s="30">
        <f>11711.89+112463.33+73006.84+70941.22+395259.82+67590.34</f>
        <v>730973.44000000006</v>
      </c>
      <c r="AJ739" s="30">
        <f>2233.51+2453.09+13922.77+13528.85+75378+31884.01</f>
        <v>139400.23000000001</v>
      </c>
    </row>
    <row r="740" spans="1:36" ht="141.75" x14ac:dyDescent="0.25">
      <c r="A740" s="6">
        <v>737</v>
      </c>
      <c r="B740" s="31">
        <v>112982</v>
      </c>
      <c r="C740" s="31">
        <v>297</v>
      </c>
      <c r="D740" s="11" t="s">
        <v>143</v>
      </c>
      <c r="E740" s="24" t="s">
        <v>270</v>
      </c>
      <c r="F740" s="67" t="s">
        <v>713</v>
      </c>
      <c r="G740" s="11" t="s">
        <v>714</v>
      </c>
      <c r="H740" s="8" t="s">
        <v>151</v>
      </c>
      <c r="I740" s="12" t="s">
        <v>715</v>
      </c>
      <c r="J740" s="25">
        <v>43318</v>
      </c>
      <c r="K740" s="25">
        <v>43683</v>
      </c>
      <c r="L740" s="26">
        <f t="shared" si="273"/>
        <v>82.304142421748935</v>
      </c>
      <c r="M740" s="11" t="s">
        <v>272</v>
      </c>
      <c r="N740" s="11" t="s">
        <v>691</v>
      </c>
      <c r="O740" s="11" t="s">
        <v>716</v>
      </c>
      <c r="P740" s="27" t="s">
        <v>274</v>
      </c>
      <c r="Q740" s="11" t="s">
        <v>34</v>
      </c>
      <c r="R740" s="2">
        <f t="shared" si="272"/>
        <v>819220.94</v>
      </c>
      <c r="S740" s="2">
        <f>660630.34</f>
        <v>660630.34</v>
      </c>
      <c r="T740" s="2">
        <f>158590.6</f>
        <v>158590.6</v>
      </c>
      <c r="U740" s="2">
        <f t="shared" ref="U740:U771" si="277">V740+W740</f>
        <v>156229.57</v>
      </c>
      <c r="V740" s="28">
        <f>116581.85</f>
        <v>116581.85</v>
      </c>
      <c r="W740" s="28">
        <f>39647.72</f>
        <v>39647.72</v>
      </c>
      <c r="X740" s="2">
        <f t="shared" si="274"/>
        <v>0</v>
      </c>
      <c r="Y740" s="2">
        <v>0</v>
      </c>
      <c r="Z740" s="2">
        <v>0</v>
      </c>
      <c r="AA740" s="2">
        <f t="shared" si="275"/>
        <v>19907.580000000002</v>
      </c>
      <c r="AB740" s="2">
        <f>15861.83</f>
        <v>15861.83</v>
      </c>
      <c r="AC740" s="2">
        <f>4045.75</f>
        <v>4045.75</v>
      </c>
      <c r="AD740" s="16">
        <f t="shared" si="271"/>
        <v>995358.09</v>
      </c>
      <c r="AE740" s="2"/>
      <c r="AF740" s="2">
        <f t="shared" si="276"/>
        <v>995358.09</v>
      </c>
      <c r="AG740" s="21" t="s">
        <v>857</v>
      </c>
      <c r="AH740" s="29"/>
      <c r="AI740" s="30">
        <f>764833.39+7900.03</f>
        <v>772733.42</v>
      </c>
      <c r="AJ740" s="30">
        <f>145857.5+1506.57</f>
        <v>147364.07</v>
      </c>
    </row>
    <row r="741" spans="1:36" ht="141.75" x14ac:dyDescent="0.25">
      <c r="A741" s="6">
        <v>738</v>
      </c>
      <c r="B741" s="31">
        <v>110476</v>
      </c>
      <c r="C741" s="31">
        <v>203</v>
      </c>
      <c r="D741" s="11" t="s">
        <v>143</v>
      </c>
      <c r="E741" s="24" t="s">
        <v>270</v>
      </c>
      <c r="F741" s="67" t="s">
        <v>1909</v>
      </c>
      <c r="G741" s="11" t="s">
        <v>727</v>
      </c>
      <c r="H741" s="11" t="s">
        <v>728</v>
      </c>
      <c r="I741" s="120" t="s">
        <v>2958</v>
      </c>
      <c r="J741" s="25">
        <v>43321</v>
      </c>
      <c r="K741" s="25">
        <v>43808</v>
      </c>
      <c r="L741" s="26">
        <f t="shared" si="273"/>
        <v>82.304185104915661</v>
      </c>
      <c r="M741" s="11" t="s">
        <v>272</v>
      </c>
      <c r="N741" s="11" t="s">
        <v>290</v>
      </c>
      <c r="O741" s="11" t="s">
        <v>290</v>
      </c>
      <c r="P741" s="27" t="s">
        <v>274</v>
      </c>
      <c r="Q741" s="11" t="s">
        <v>34</v>
      </c>
      <c r="R741" s="2">
        <f t="shared" si="272"/>
        <v>792472.48</v>
      </c>
      <c r="S741" s="2">
        <v>639060</v>
      </c>
      <c r="T741" s="2">
        <v>153412.48000000001</v>
      </c>
      <c r="U741" s="2">
        <f t="shared" si="277"/>
        <v>151128.4</v>
      </c>
      <c r="V741" s="28">
        <v>112775.26</v>
      </c>
      <c r="W741" s="28">
        <v>38353.14</v>
      </c>
      <c r="X741" s="2">
        <f t="shared" si="274"/>
        <v>0</v>
      </c>
      <c r="Y741" s="2">
        <v>0</v>
      </c>
      <c r="Z741" s="2">
        <v>0</v>
      </c>
      <c r="AA741" s="2">
        <f t="shared" si="275"/>
        <v>19257.18</v>
      </c>
      <c r="AB741" s="2">
        <v>15343.63</v>
      </c>
      <c r="AC741" s="2">
        <v>3913.55</v>
      </c>
      <c r="AD741" s="16">
        <f t="shared" si="271"/>
        <v>962858.06</v>
      </c>
      <c r="AE741" s="2"/>
      <c r="AF741" s="2">
        <f t="shared" si="276"/>
        <v>962858.06</v>
      </c>
      <c r="AG741" s="21" t="s">
        <v>857</v>
      </c>
      <c r="AH741" s="29" t="s">
        <v>1243</v>
      </c>
      <c r="AI741" s="30">
        <f>428320.62+93776.01+55027.39+139592.25</f>
        <v>716716.27</v>
      </c>
      <c r="AJ741" s="30">
        <f>81204.25+10493.99+44983.15</f>
        <v>136681.39000000001</v>
      </c>
    </row>
    <row r="742" spans="1:36" ht="141.75" x14ac:dyDescent="0.25">
      <c r="A742" s="6">
        <v>739</v>
      </c>
      <c r="B742" s="31">
        <v>111413</v>
      </c>
      <c r="C742" s="31">
        <v>245</v>
      </c>
      <c r="D742" s="11" t="s">
        <v>143</v>
      </c>
      <c r="E742" s="24" t="s">
        <v>270</v>
      </c>
      <c r="F742" s="67" t="s">
        <v>732</v>
      </c>
      <c r="G742" s="11" t="s">
        <v>733</v>
      </c>
      <c r="H742" s="11" t="s">
        <v>734</v>
      </c>
      <c r="I742" s="12" t="s">
        <v>2959</v>
      </c>
      <c r="J742" s="25">
        <v>43325</v>
      </c>
      <c r="K742" s="25">
        <v>43812</v>
      </c>
      <c r="L742" s="26">
        <f t="shared" si="273"/>
        <v>82.510189524515496</v>
      </c>
      <c r="M742" s="11" t="s">
        <v>272</v>
      </c>
      <c r="N742" s="11" t="s">
        <v>261</v>
      </c>
      <c r="O742" s="11" t="s">
        <v>261</v>
      </c>
      <c r="P742" s="27" t="s">
        <v>274</v>
      </c>
      <c r="Q742" s="11" t="s">
        <v>34</v>
      </c>
      <c r="R742" s="2">
        <f t="shared" si="272"/>
        <v>805149.57</v>
      </c>
      <c r="S742" s="2">
        <v>649282.97</v>
      </c>
      <c r="T742" s="2">
        <v>155866.6</v>
      </c>
      <c r="U742" s="2">
        <f t="shared" si="277"/>
        <v>134378</v>
      </c>
      <c r="V742" s="28">
        <v>100275.78</v>
      </c>
      <c r="W742" s="28">
        <v>34102.22</v>
      </c>
      <c r="X742" s="2">
        <f t="shared" si="274"/>
        <v>19168</v>
      </c>
      <c r="Y742" s="2">
        <v>14303.59</v>
      </c>
      <c r="Z742" s="2">
        <v>4864.41</v>
      </c>
      <c r="AA742" s="2">
        <f t="shared" si="275"/>
        <v>17122.78</v>
      </c>
      <c r="AB742" s="2">
        <v>13642.95</v>
      </c>
      <c r="AC742" s="2">
        <v>3479.83</v>
      </c>
      <c r="AD742" s="16">
        <f t="shared" si="271"/>
        <v>975818.35</v>
      </c>
      <c r="AE742" s="2">
        <v>0</v>
      </c>
      <c r="AF742" s="2">
        <f t="shared" si="276"/>
        <v>975818.35</v>
      </c>
      <c r="AG742" s="21" t="s">
        <v>857</v>
      </c>
      <c r="AH742" s="29" t="s">
        <v>294</v>
      </c>
      <c r="AI742" s="30">
        <f>85600-10278.92+91440.93+64880.29+85600+67989.89+122279.98+103700.71+78599.18+1013.75+8269.89</f>
        <v>699095.70000000007</v>
      </c>
      <c r="AJ742" s="30">
        <f>10278.92+5199.07+27998.08+12966.01+23319.38+19776.21+14989.25+14467.31</f>
        <v>128994.23000000001</v>
      </c>
    </row>
    <row r="743" spans="1:36" ht="346.5" x14ac:dyDescent="0.25">
      <c r="A743" s="6">
        <v>740</v>
      </c>
      <c r="B743" s="31">
        <v>112299</v>
      </c>
      <c r="C743" s="31">
        <v>370</v>
      </c>
      <c r="D743" s="97" t="s">
        <v>1640</v>
      </c>
      <c r="E743" s="24" t="s">
        <v>528</v>
      </c>
      <c r="F743" s="67" t="s">
        <v>741</v>
      </c>
      <c r="G743" s="11" t="s">
        <v>742</v>
      </c>
      <c r="H743" s="8" t="s">
        <v>151</v>
      </c>
      <c r="I743" s="82" t="s">
        <v>2960</v>
      </c>
      <c r="J743" s="25">
        <v>43322</v>
      </c>
      <c r="K743" s="25">
        <v>44206</v>
      </c>
      <c r="L743" s="26">
        <f t="shared" si="273"/>
        <v>82.304185787048553</v>
      </c>
      <c r="M743" s="11" t="s">
        <v>272</v>
      </c>
      <c r="N743" s="11" t="s">
        <v>261</v>
      </c>
      <c r="O743" s="11" t="s">
        <v>261</v>
      </c>
      <c r="P743" s="27" t="s">
        <v>274</v>
      </c>
      <c r="Q743" s="11" t="s">
        <v>34</v>
      </c>
      <c r="R743" s="2">
        <f t="shared" si="272"/>
        <v>5950616.5499999998</v>
      </c>
      <c r="S743" s="2">
        <v>4798653.8499999996</v>
      </c>
      <c r="T743" s="2">
        <v>1151962.7</v>
      </c>
      <c r="U743" s="2">
        <f t="shared" si="277"/>
        <v>1134811.9099999999</v>
      </c>
      <c r="V743" s="28">
        <v>846821.21</v>
      </c>
      <c r="W743" s="28">
        <v>287990.7</v>
      </c>
      <c r="X743" s="2">
        <f t="shared" si="274"/>
        <v>0</v>
      </c>
      <c r="Y743" s="2">
        <v>0</v>
      </c>
      <c r="Z743" s="2">
        <v>0</v>
      </c>
      <c r="AA743" s="2">
        <f t="shared" si="275"/>
        <v>144600.6</v>
      </c>
      <c r="AB743" s="2">
        <v>115213.75999999999</v>
      </c>
      <c r="AC743" s="2">
        <v>29386.84</v>
      </c>
      <c r="AD743" s="16">
        <f t="shared" si="271"/>
        <v>7230029.0599999996</v>
      </c>
      <c r="AE743" s="2">
        <v>125283.56</v>
      </c>
      <c r="AF743" s="2">
        <f t="shared" si="276"/>
        <v>7355312.6199999992</v>
      </c>
      <c r="AG743" s="38" t="s">
        <v>857</v>
      </c>
      <c r="AH743" s="29" t="s">
        <v>1453</v>
      </c>
      <c r="AI743" s="30">
        <f>2989084.5+138744.31+504052.17+175482.8+697385.83+985436.75-18731.85+479161.34-42061.19-32073.11-30697.52</f>
        <v>5845784.0299999993</v>
      </c>
      <c r="AJ743" s="30">
        <f>432152.92+26459.23+96125.26+71707.5+132994.92+240620.64+18731.85+23268.78+42061.19+30697.52</f>
        <v>1114819.81</v>
      </c>
    </row>
    <row r="744" spans="1:36" ht="119.25" customHeight="1" x14ac:dyDescent="0.25">
      <c r="A744" s="6">
        <v>741</v>
      </c>
      <c r="B744" s="31">
        <v>112241</v>
      </c>
      <c r="C744" s="31">
        <v>291</v>
      </c>
      <c r="D744" s="11" t="s">
        <v>143</v>
      </c>
      <c r="E744" s="24" t="s">
        <v>270</v>
      </c>
      <c r="F744" s="67" t="s">
        <v>754</v>
      </c>
      <c r="G744" s="11" t="s">
        <v>755</v>
      </c>
      <c r="H744" s="11" t="s">
        <v>756</v>
      </c>
      <c r="I744" s="120" t="s">
        <v>757</v>
      </c>
      <c r="J744" s="25">
        <v>43332</v>
      </c>
      <c r="K744" s="25">
        <v>43819</v>
      </c>
      <c r="L744" s="26">
        <f t="shared" si="273"/>
        <v>82.583882850083839</v>
      </c>
      <c r="M744" s="27" t="s">
        <v>136</v>
      </c>
      <c r="N744" s="11" t="s">
        <v>582</v>
      </c>
      <c r="O744" s="11" t="s">
        <v>583</v>
      </c>
      <c r="P744" s="27" t="s">
        <v>274</v>
      </c>
      <c r="Q744" s="56" t="s">
        <v>34</v>
      </c>
      <c r="R744" s="2">
        <f t="shared" si="272"/>
        <v>824427.28</v>
      </c>
      <c r="S744" s="2">
        <v>664828.78</v>
      </c>
      <c r="T744" s="2">
        <v>159598.5</v>
      </c>
      <c r="U744" s="2">
        <f t="shared" si="277"/>
        <v>130597.97</v>
      </c>
      <c r="V744" s="28">
        <v>97455.03</v>
      </c>
      <c r="W744" s="28">
        <v>33142.94</v>
      </c>
      <c r="X744" s="2">
        <f t="shared" si="274"/>
        <v>26624.399999999998</v>
      </c>
      <c r="Y744" s="2">
        <v>19867.71</v>
      </c>
      <c r="Z744" s="2">
        <v>6756.69</v>
      </c>
      <c r="AA744" s="2">
        <f t="shared" si="275"/>
        <v>16641.12</v>
      </c>
      <c r="AB744" s="2">
        <v>13259.17</v>
      </c>
      <c r="AC744" s="2">
        <v>3381.95</v>
      </c>
      <c r="AD744" s="16">
        <f t="shared" si="271"/>
        <v>998290.77</v>
      </c>
      <c r="AE744" s="2"/>
      <c r="AF744" s="2">
        <f t="shared" si="276"/>
        <v>998290.77</v>
      </c>
      <c r="AG744" s="38" t="s">
        <v>857</v>
      </c>
      <c r="AH744" s="29"/>
      <c r="AI744" s="30">
        <f>750146.64-1652.46</f>
        <v>748494.18</v>
      </c>
      <c r="AJ744" s="30">
        <f>119349.39+1652.46</f>
        <v>121001.85</v>
      </c>
    </row>
    <row r="745" spans="1:36" ht="270" customHeight="1" x14ac:dyDescent="0.25">
      <c r="A745" s="6">
        <v>742</v>
      </c>
      <c r="B745" s="31">
        <v>111881</v>
      </c>
      <c r="C745" s="31">
        <v>222</v>
      </c>
      <c r="D745" s="11" t="s">
        <v>143</v>
      </c>
      <c r="E745" s="24" t="s">
        <v>270</v>
      </c>
      <c r="F745" s="70" t="s">
        <v>758</v>
      </c>
      <c r="G745" s="27" t="s">
        <v>759</v>
      </c>
      <c r="H745" s="8" t="s">
        <v>151</v>
      </c>
      <c r="I745" s="12" t="s">
        <v>761</v>
      </c>
      <c r="J745" s="25">
        <v>43332</v>
      </c>
      <c r="K745" s="25">
        <v>43819</v>
      </c>
      <c r="L745" s="26">
        <f t="shared" si="273"/>
        <v>82.304193109047048</v>
      </c>
      <c r="M745" s="27" t="s">
        <v>136</v>
      </c>
      <c r="N745" s="11" t="s">
        <v>261</v>
      </c>
      <c r="O745" s="11" t="s">
        <v>261</v>
      </c>
      <c r="P745" s="27" t="s">
        <v>274</v>
      </c>
      <c r="Q745" s="11" t="s">
        <v>34</v>
      </c>
      <c r="R745" s="2">
        <f t="shared" si="272"/>
        <v>817219.92999999993</v>
      </c>
      <c r="S745" s="2">
        <v>659016.73</v>
      </c>
      <c r="T745" s="2">
        <v>158203.20000000001</v>
      </c>
      <c r="U745" s="2">
        <f t="shared" si="277"/>
        <v>155847.79</v>
      </c>
      <c r="V745" s="28">
        <v>116297.02</v>
      </c>
      <c r="W745" s="28">
        <v>39550.769999999997</v>
      </c>
      <c r="X745" s="2">
        <f t="shared" si="274"/>
        <v>19858.52</v>
      </c>
      <c r="Y745" s="2">
        <v>15822.64</v>
      </c>
      <c r="Z745" s="2">
        <v>4035.88</v>
      </c>
      <c r="AA745" s="2">
        <f t="shared" si="275"/>
        <v>0</v>
      </c>
      <c r="AB745" s="2">
        <v>0</v>
      </c>
      <c r="AC745" s="2">
        <v>0</v>
      </c>
      <c r="AD745" s="16">
        <f t="shared" si="271"/>
        <v>992926.24</v>
      </c>
      <c r="AE745" s="2"/>
      <c r="AF745" s="2">
        <f t="shared" si="276"/>
        <v>992926.24</v>
      </c>
      <c r="AG745" s="38" t="s">
        <v>857</v>
      </c>
      <c r="AH745" s="29" t="s">
        <v>956</v>
      </c>
      <c r="AI745" s="30">
        <f>99292.62-14519.17+90653.42-15093.22+94237.53+80664.42-14592.29+91109.94+330680.29</f>
        <v>742433.54</v>
      </c>
      <c r="AJ745" s="30">
        <f>14519.17+15093.22+15383.12+14592.29+81997.93</f>
        <v>141585.72999999998</v>
      </c>
    </row>
    <row r="746" spans="1:36" ht="252" x14ac:dyDescent="0.25">
      <c r="A746" s="6">
        <v>743</v>
      </c>
      <c r="B746" s="31">
        <v>111434</v>
      </c>
      <c r="C746" s="31">
        <v>141</v>
      </c>
      <c r="D746" s="11" t="s">
        <v>143</v>
      </c>
      <c r="E746" s="24" t="s">
        <v>270</v>
      </c>
      <c r="F746" s="67" t="s">
        <v>765</v>
      </c>
      <c r="G746" s="11" t="s">
        <v>766</v>
      </c>
      <c r="H746" s="11" t="s">
        <v>767</v>
      </c>
      <c r="I746" s="120" t="s">
        <v>820</v>
      </c>
      <c r="J746" s="25">
        <v>43332</v>
      </c>
      <c r="K746" s="25">
        <v>43881</v>
      </c>
      <c r="L746" s="26">
        <f t="shared" si="273"/>
        <v>82.30418537074344</v>
      </c>
      <c r="M746" s="11" t="s">
        <v>272</v>
      </c>
      <c r="N746" s="11" t="s">
        <v>261</v>
      </c>
      <c r="O746" s="11" t="s">
        <v>261</v>
      </c>
      <c r="P746" s="27" t="s">
        <v>274</v>
      </c>
      <c r="Q746" s="56" t="s">
        <v>34</v>
      </c>
      <c r="R746" s="2">
        <f t="shared" si="272"/>
        <v>822576.44</v>
      </c>
      <c r="S746" s="2">
        <v>663336.19999999995</v>
      </c>
      <c r="T746" s="2">
        <v>159240.24</v>
      </c>
      <c r="U746" s="2">
        <f t="shared" si="277"/>
        <v>156869.40000000002</v>
      </c>
      <c r="V746" s="28">
        <v>117059.35</v>
      </c>
      <c r="W746" s="28">
        <v>39810.050000000003</v>
      </c>
      <c r="X746" s="2">
        <f t="shared" si="274"/>
        <v>19988.68</v>
      </c>
      <c r="Y746" s="2">
        <v>15926.46</v>
      </c>
      <c r="Z746" s="2">
        <v>4062.22</v>
      </c>
      <c r="AA746" s="2">
        <f t="shared" si="275"/>
        <v>0</v>
      </c>
      <c r="AB746" s="2">
        <v>0</v>
      </c>
      <c r="AC746" s="2">
        <v>0</v>
      </c>
      <c r="AD746" s="16">
        <f t="shared" si="271"/>
        <v>999434.52</v>
      </c>
      <c r="AE746" s="2"/>
      <c r="AF746" s="2">
        <f t="shared" si="276"/>
        <v>999434.52</v>
      </c>
      <c r="AG746" s="38" t="s">
        <v>1427</v>
      </c>
      <c r="AH746" s="29" t="s">
        <v>1375</v>
      </c>
      <c r="AI746" s="30">
        <f>49971.72+83543.84+96913+21111.43+81377.76+128016.73+84993.07+90341.92+71327.12</f>
        <v>707596.59000000008</v>
      </c>
      <c r="AJ746" s="30">
        <f>24884.17+21127.4+22831.19+16208.59+25868.4+24022.36</f>
        <v>134942.10999999999</v>
      </c>
    </row>
    <row r="747" spans="1:36" ht="174" customHeight="1" x14ac:dyDescent="0.25">
      <c r="A747" s="6">
        <v>744</v>
      </c>
      <c r="B747" s="31">
        <v>112374</v>
      </c>
      <c r="C747" s="31">
        <v>142</v>
      </c>
      <c r="D747" s="11" t="s">
        <v>143</v>
      </c>
      <c r="E747" s="24" t="s">
        <v>270</v>
      </c>
      <c r="F747" s="67" t="s">
        <v>770</v>
      </c>
      <c r="G747" s="11" t="s">
        <v>771</v>
      </c>
      <c r="H747" s="8" t="s">
        <v>151</v>
      </c>
      <c r="I747" s="120" t="s">
        <v>2961</v>
      </c>
      <c r="J747" s="25">
        <v>43333</v>
      </c>
      <c r="K747" s="25">
        <v>43911</v>
      </c>
      <c r="L747" s="26">
        <f t="shared" si="273"/>
        <v>82.304182898535288</v>
      </c>
      <c r="M747" s="11" t="s">
        <v>272</v>
      </c>
      <c r="N747" s="11" t="s">
        <v>261</v>
      </c>
      <c r="O747" s="11" t="s">
        <v>261</v>
      </c>
      <c r="P747" s="27" t="s">
        <v>274</v>
      </c>
      <c r="Q747" s="11" t="s">
        <v>34</v>
      </c>
      <c r="R747" s="2">
        <f t="shared" si="272"/>
        <v>776266.51</v>
      </c>
      <c r="S747" s="2">
        <v>625991.30000000005</v>
      </c>
      <c r="T747" s="2">
        <v>150275.21</v>
      </c>
      <c r="U747" s="2">
        <f t="shared" si="277"/>
        <v>148037.87</v>
      </c>
      <c r="V747" s="28">
        <v>110469.08</v>
      </c>
      <c r="W747" s="28">
        <v>37568.79</v>
      </c>
      <c r="X747" s="2">
        <f t="shared" si="274"/>
        <v>0</v>
      </c>
      <c r="Y747" s="2">
        <v>0</v>
      </c>
      <c r="Z747" s="2">
        <v>0</v>
      </c>
      <c r="AA747" s="2">
        <f t="shared" si="275"/>
        <v>18863.37</v>
      </c>
      <c r="AB747" s="2">
        <v>15029.81</v>
      </c>
      <c r="AC747" s="2">
        <v>3833.56</v>
      </c>
      <c r="AD747" s="16">
        <f t="shared" si="271"/>
        <v>943167.75</v>
      </c>
      <c r="AE747" s="2">
        <v>0</v>
      </c>
      <c r="AF747" s="2">
        <f t="shared" si="276"/>
        <v>943167.75</v>
      </c>
      <c r="AG747" s="38" t="s">
        <v>857</v>
      </c>
      <c r="AH747" s="29" t="s">
        <v>1405</v>
      </c>
      <c r="AI747" s="30">
        <v>678261.97000000009</v>
      </c>
      <c r="AJ747" s="30">
        <v>129347.91000000002</v>
      </c>
    </row>
    <row r="748" spans="1:36" ht="189" x14ac:dyDescent="0.25">
      <c r="A748" s="6">
        <v>745</v>
      </c>
      <c r="B748" s="31">
        <v>111379</v>
      </c>
      <c r="C748" s="31">
        <v>228</v>
      </c>
      <c r="D748" s="11" t="s">
        <v>143</v>
      </c>
      <c r="E748" s="24" t="s">
        <v>270</v>
      </c>
      <c r="F748" s="27" t="s">
        <v>772</v>
      </c>
      <c r="G748" s="70" t="s">
        <v>773</v>
      </c>
      <c r="H748" s="11" t="s">
        <v>774</v>
      </c>
      <c r="I748" s="120" t="s">
        <v>775</v>
      </c>
      <c r="J748" s="25">
        <v>43333</v>
      </c>
      <c r="K748" s="25">
        <v>43820</v>
      </c>
      <c r="L748" s="26">
        <f t="shared" si="273"/>
        <v>82.304192034439112</v>
      </c>
      <c r="M748" s="11" t="s">
        <v>272</v>
      </c>
      <c r="N748" s="11" t="s">
        <v>261</v>
      </c>
      <c r="O748" s="11" t="s">
        <v>261</v>
      </c>
      <c r="P748" s="27" t="s">
        <v>274</v>
      </c>
      <c r="Q748" s="11" t="s">
        <v>34</v>
      </c>
      <c r="R748" s="2">
        <f t="shared" si="272"/>
        <v>811155.73</v>
      </c>
      <c r="S748" s="2">
        <v>654126.39</v>
      </c>
      <c r="T748" s="2">
        <v>157029.34</v>
      </c>
      <c r="U748" s="2">
        <f t="shared" si="277"/>
        <v>154691.31</v>
      </c>
      <c r="V748" s="28">
        <v>115434</v>
      </c>
      <c r="W748" s="28">
        <v>39257.31</v>
      </c>
      <c r="X748" s="2">
        <f t="shared" si="274"/>
        <v>19711.18</v>
      </c>
      <c r="Y748" s="2">
        <v>15705.37</v>
      </c>
      <c r="Z748" s="2">
        <v>4005.81</v>
      </c>
      <c r="AA748" s="2">
        <f t="shared" si="275"/>
        <v>0</v>
      </c>
      <c r="AB748" s="2">
        <v>0</v>
      </c>
      <c r="AC748" s="2">
        <v>0</v>
      </c>
      <c r="AD748" s="16">
        <f t="shared" si="271"/>
        <v>985558.22000000009</v>
      </c>
      <c r="AE748" s="2"/>
      <c r="AF748" s="2">
        <f t="shared" si="276"/>
        <v>985558.22000000009</v>
      </c>
      <c r="AG748" s="38" t="s">
        <v>857</v>
      </c>
      <c r="AH748" s="29" t="s">
        <v>1287</v>
      </c>
      <c r="AI748" s="30">
        <f>91009.38-9270.26+57880.76-12678.05+33855.88+91009.38+115144.49+303539.89+74137.89</f>
        <v>744629.36</v>
      </c>
      <c r="AJ748" s="30">
        <f>9270.26+12678.05+8716.65+21958.63+75242.46+14138.42</f>
        <v>142004.47</v>
      </c>
    </row>
    <row r="749" spans="1:36" ht="264.75" customHeight="1" x14ac:dyDescent="0.25">
      <c r="A749" s="6">
        <v>746</v>
      </c>
      <c r="B749" s="31">
        <v>112711</v>
      </c>
      <c r="C749" s="31">
        <v>209</v>
      </c>
      <c r="D749" s="68" t="s">
        <v>143</v>
      </c>
      <c r="E749" s="24" t="s">
        <v>270</v>
      </c>
      <c r="F749" s="67" t="s">
        <v>779</v>
      </c>
      <c r="G749" s="11" t="s">
        <v>780</v>
      </c>
      <c r="H749" s="68" t="s">
        <v>781</v>
      </c>
      <c r="I749" s="12" t="s">
        <v>2962</v>
      </c>
      <c r="J749" s="25">
        <v>43335</v>
      </c>
      <c r="K749" s="25">
        <v>43822</v>
      </c>
      <c r="L749" s="26">
        <f t="shared" si="273"/>
        <v>82.640124999999998</v>
      </c>
      <c r="M749" s="11" t="s">
        <v>272</v>
      </c>
      <c r="N749" s="11" t="s">
        <v>261</v>
      </c>
      <c r="O749" s="11" t="s">
        <v>261</v>
      </c>
      <c r="P749" s="27" t="s">
        <v>274</v>
      </c>
      <c r="Q749" s="11" t="s">
        <v>34</v>
      </c>
      <c r="R749" s="2">
        <f t="shared" si="272"/>
        <v>826401.25</v>
      </c>
      <c r="S749" s="2">
        <v>666420.59</v>
      </c>
      <c r="T749" s="2">
        <v>159980.66</v>
      </c>
      <c r="U749" s="2">
        <f t="shared" si="277"/>
        <v>153598.75</v>
      </c>
      <c r="V749" s="28">
        <v>114416.53</v>
      </c>
      <c r="W749" s="28">
        <v>39182.22</v>
      </c>
      <c r="X749" s="2">
        <f t="shared" si="274"/>
        <v>20000</v>
      </c>
      <c r="Y749" s="2">
        <v>15935.46</v>
      </c>
      <c r="Z749" s="2">
        <v>4064.54</v>
      </c>
      <c r="AA749" s="2">
        <f t="shared" si="275"/>
        <v>0</v>
      </c>
      <c r="AB749" s="2">
        <v>0</v>
      </c>
      <c r="AC749" s="2">
        <v>0</v>
      </c>
      <c r="AD749" s="16">
        <f t="shared" si="271"/>
        <v>1000000</v>
      </c>
      <c r="AE749" s="2"/>
      <c r="AF749" s="2">
        <f t="shared" si="276"/>
        <v>1000000</v>
      </c>
      <c r="AG749" s="38" t="s">
        <v>857</v>
      </c>
      <c r="AH749" s="29" t="s">
        <v>760</v>
      </c>
      <c r="AI749" s="30">
        <f>98952.8+38728.19+96005.78+68225.96+103165.27+4938.26+145762.12+161102.5+9031.2+61138.02</f>
        <v>787050.1</v>
      </c>
      <c r="AJ749" s="30">
        <f>24992.94+30773.35+1365.53+941.74+26883.3+29808.77+1722.28+29615.87</f>
        <v>146103.78</v>
      </c>
    </row>
    <row r="750" spans="1:36" ht="146.25" customHeight="1" x14ac:dyDescent="0.25">
      <c r="A750" s="6">
        <v>747</v>
      </c>
      <c r="B750" s="31">
        <v>112827</v>
      </c>
      <c r="C750" s="31">
        <v>305</v>
      </c>
      <c r="D750" s="11" t="s">
        <v>143</v>
      </c>
      <c r="E750" s="24" t="s">
        <v>270</v>
      </c>
      <c r="F750" s="67" t="s">
        <v>787</v>
      </c>
      <c r="G750" s="67" t="s">
        <v>786</v>
      </c>
      <c r="H750" s="11" t="s">
        <v>788</v>
      </c>
      <c r="I750" s="120" t="s">
        <v>789</v>
      </c>
      <c r="J750" s="25">
        <v>43325</v>
      </c>
      <c r="K750" s="25">
        <v>43812</v>
      </c>
      <c r="L750" s="26">
        <f t="shared" si="273"/>
        <v>82.304185909112974</v>
      </c>
      <c r="M750" s="11" t="s">
        <v>272</v>
      </c>
      <c r="N750" s="11" t="s">
        <v>226</v>
      </c>
      <c r="O750" s="11" t="s">
        <v>790</v>
      </c>
      <c r="P750" s="27" t="s">
        <v>274</v>
      </c>
      <c r="Q750" s="11" t="s">
        <v>34</v>
      </c>
      <c r="R750" s="2">
        <f t="shared" si="272"/>
        <v>819344.36</v>
      </c>
      <c r="S750" s="2">
        <v>660729.87</v>
      </c>
      <c r="T750" s="2">
        <v>158614.49</v>
      </c>
      <c r="U750" s="2">
        <f t="shared" si="277"/>
        <v>156253</v>
      </c>
      <c r="V750" s="28">
        <v>116599.38</v>
      </c>
      <c r="W750" s="28">
        <v>39653.620000000003</v>
      </c>
      <c r="X750" s="2">
        <f t="shared" si="274"/>
        <v>0</v>
      </c>
      <c r="Y750" s="2">
        <v>0</v>
      </c>
      <c r="Z750" s="2">
        <v>0</v>
      </c>
      <c r="AA750" s="2">
        <f t="shared" si="275"/>
        <v>19910.16</v>
      </c>
      <c r="AB750" s="2">
        <v>15863.84</v>
      </c>
      <c r="AC750" s="2">
        <v>4046.32</v>
      </c>
      <c r="AD750" s="16">
        <f t="shared" si="271"/>
        <v>995507.52</v>
      </c>
      <c r="AE750" s="2"/>
      <c r="AF750" s="2">
        <f t="shared" si="276"/>
        <v>995507.52</v>
      </c>
      <c r="AG750" s="21" t="s">
        <v>857</v>
      </c>
      <c r="AH750" s="29" t="s">
        <v>1316</v>
      </c>
      <c r="AI750" s="30">
        <f>165274.95+38664.92+10408+235707.44+78966.94+38496.07-3710.24+4162.74</f>
        <v>567970.81999999995</v>
      </c>
      <c r="AJ750" s="30">
        <f>22672.13+60694.84+16616.38+7341.42+990.1</f>
        <v>108314.87000000001</v>
      </c>
    </row>
    <row r="751" spans="1:36" ht="141.75" x14ac:dyDescent="0.25">
      <c r="A751" s="6">
        <v>748</v>
      </c>
      <c r="B751" s="31">
        <v>112220</v>
      </c>
      <c r="C751" s="31">
        <v>239</v>
      </c>
      <c r="D751" s="68" t="s">
        <v>143</v>
      </c>
      <c r="E751" s="24" t="s">
        <v>270</v>
      </c>
      <c r="F751" s="11" t="s">
        <v>798</v>
      </c>
      <c r="G751" s="11" t="s">
        <v>1202</v>
      </c>
      <c r="H751" s="11" t="s">
        <v>799</v>
      </c>
      <c r="I751" s="120" t="s">
        <v>801</v>
      </c>
      <c r="J751" s="25">
        <v>43346</v>
      </c>
      <c r="K751" s="25">
        <v>43772</v>
      </c>
      <c r="L751" s="26">
        <f t="shared" si="273"/>
        <v>82.53761528755669</v>
      </c>
      <c r="M751" s="11" t="s">
        <v>272</v>
      </c>
      <c r="N751" s="11" t="s">
        <v>182</v>
      </c>
      <c r="O751" s="11" t="s">
        <v>800</v>
      </c>
      <c r="P751" s="27" t="s">
        <v>274</v>
      </c>
      <c r="Q751" s="11" t="s">
        <v>34</v>
      </c>
      <c r="R751" s="2">
        <f t="shared" si="272"/>
        <v>770988.47</v>
      </c>
      <c r="S751" s="2">
        <v>621735</v>
      </c>
      <c r="T751" s="2">
        <v>149253.47</v>
      </c>
      <c r="U751" s="2">
        <f t="shared" si="277"/>
        <v>126240.19</v>
      </c>
      <c r="V751" s="28">
        <v>94203.17</v>
      </c>
      <c r="W751" s="28">
        <v>32037.02</v>
      </c>
      <c r="X751" s="2">
        <f t="shared" si="274"/>
        <v>20791.07</v>
      </c>
      <c r="Y751" s="2">
        <v>15514.77</v>
      </c>
      <c r="Z751" s="2">
        <v>5276.3</v>
      </c>
      <c r="AA751" s="2">
        <f t="shared" si="275"/>
        <v>16085.85</v>
      </c>
      <c r="AB751" s="2">
        <v>12816.75</v>
      </c>
      <c r="AC751" s="2">
        <v>3269.1</v>
      </c>
      <c r="AD751" s="16">
        <f t="shared" si="271"/>
        <v>934105.57999999984</v>
      </c>
      <c r="AE751" s="2"/>
      <c r="AF751" s="2">
        <f t="shared" si="276"/>
        <v>934105.57999999984</v>
      </c>
      <c r="AG751" s="21" t="s">
        <v>857</v>
      </c>
      <c r="AH751" s="29" t="s">
        <v>294</v>
      </c>
      <c r="AI751" s="30">
        <f>539565.25+96369.35+53688.91+16794.02</f>
        <v>706417.53</v>
      </c>
      <c r="AJ751" s="30">
        <f>81386.87+28616.84+7174.44</f>
        <v>117178.15</v>
      </c>
    </row>
    <row r="752" spans="1:36" ht="141.75" x14ac:dyDescent="0.25">
      <c r="A752" s="6">
        <v>749</v>
      </c>
      <c r="B752" s="31">
        <v>111775</v>
      </c>
      <c r="C752" s="31">
        <v>364</v>
      </c>
      <c r="D752" s="68" t="s">
        <v>143</v>
      </c>
      <c r="E752" s="24" t="s">
        <v>270</v>
      </c>
      <c r="F752" s="27" t="s">
        <v>802</v>
      </c>
      <c r="G752" s="27" t="s">
        <v>803</v>
      </c>
      <c r="H752" s="11" t="s">
        <v>804</v>
      </c>
      <c r="I752" s="120" t="s">
        <v>2963</v>
      </c>
      <c r="J752" s="25">
        <v>43346</v>
      </c>
      <c r="K752" s="25">
        <v>43833</v>
      </c>
      <c r="L752" s="26">
        <f t="shared" si="273"/>
        <v>82.30418188922819</v>
      </c>
      <c r="M752" s="11" t="s">
        <v>272</v>
      </c>
      <c r="N752" s="11" t="s">
        <v>182</v>
      </c>
      <c r="O752" s="11" t="s">
        <v>394</v>
      </c>
      <c r="P752" s="27" t="s">
        <v>274</v>
      </c>
      <c r="Q752" s="11" t="s">
        <v>34</v>
      </c>
      <c r="R752" s="2">
        <f t="shared" ref="R752:R782" si="278">S752+T752</f>
        <v>779789.21</v>
      </c>
      <c r="S752" s="2">
        <v>628832.06999999995</v>
      </c>
      <c r="T752" s="2">
        <v>150957.14000000001</v>
      </c>
      <c r="U752" s="2">
        <f t="shared" si="277"/>
        <v>148709.68</v>
      </c>
      <c r="V752" s="28">
        <v>110970.39</v>
      </c>
      <c r="W752" s="28">
        <v>37739.29</v>
      </c>
      <c r="X752" s="2">
        <f t="shared" si="274"/>
        <v>0</v>
      </c>
      <c r="Y752" s="2">
        <v>0</v>
      </c>
      <c r="Z752" s="2">
        <v>0</v>
      </c>
      <c r="AA752" s="2">
        <f t="shared" si="275"/>
        <v>18948.97</v>
      </c>
      <c r="AB752" s="2">
        <v>15098.01</v>
      </c>
      <c r="AC752" s="2">
        <v>3850.96</v>
      </c>
      <c r="AD752" s="16">
        <f t="shared" si="271"/>
        <v>947447.85999999987</v>
      </c>
      <c r="AE752" s="2">
        <v>0</v>
      </c>
      <c r="AF752" s="2">
        <f t="shared" si="276"/>
        <v>947447.85999999987</v>
      </c>
      <c r="AG752" s="38" t="s">
        <v>857</v>
      </c>
      <c r="AH752" s="29" t="s">
        <v>294</v>
      </c>
      <c r="AI752" s="30">
        <f>94744.78+10125.98+94121.04-10122.56+91207.91+17880.02+109270.79+147206.72+63316.18</f>
        <v>617750.8600000001</v>
      </c>
      <c r="AJ752" s="30">
        <f>7252.41+12628.02+15463.44+21478.12+20838.49+28073.09+12074.67</f>
        <v>117808.24</v>
      </c>
    </row>
    <row r="753" spans="1:109" ht="141.75" x14ac:dyDescent="0.25">
      <c r="A753" s="6">
        <v>750</v>
      </c>
      <c r="B753" s="31">
        <v>112027</v>
      </c>
      <c r="C753" s="31">
        <v>290</v>
      </c>
      <c r="D753" s="68" t="s">
        <v>143</v>
      </c>
      <c r="E753" s="24" t="s">
        <v>270</v>
      </c>
      <c r="F753" s="70" t="s">
        <v>806</v>
      </c>
      <c r="G753" s="91" t="s">
        <v>807</v>
      </c>
      <c r="H753" s="8" t="s">
        <v>151</v>
      </c>
      <c r="I753" s="120" t="s">
        <v>808</v>
      </c>
      <c r="J753" s="25">
        <v>43346</v>
      </c>
      <c r="K753" s="25">
        <v>43833</v>
      </c>
      <c r="L753" s="26">
        <f t="shared" si="273"/>
        <v>82.30418483269878</v>
      </c>
      <c r="M753" s="11" t="s">
        <v>272</v>
      </c>
      <c r="N753" s="11" t="s">
        <v>261</v>
      </c>
      <c r="O753" s="11" t="s">
        <v>261</v>
      </c>
      <c r="P753" s="27" t="s">
        <v>274</v>
      </c>
      <c r="Q753" s="11" t="s">
        <v>34</v>
      </c>
      <c r="R753" s="2">
        <f t="shared" si="278"/>
        <v>765927.6</v>
      </c>
      <c r="S753" s="2">
        <v>617653.87</v>
      </c>
      <c r="T753" s="2">
        <v>148273.73000000001</v>
      </c>
      <c r="U753" s="2">
        <f t="shared" si="277"/>
        <v>146066.19</v>
      </c>
      <c r="V753" s="28">
        <v>108997.75999999999</v>
      </c>
      <c r="W753" s="28">
        <v>37068.43</v>
      </c>
      <c r="X753" s="2">
        <f t="shared" si="274"/>
        <v>0</v>
      </c>
      <c r="Y753" s="2">
        <v>0</v>
      </c>
      <c r="Z753" s="2">
        <v>0</v>
      </c>
      <c r="AA753" s="2">
        <f t="shared" si="275"/>
        <v>18612.11</v>
      </c>
      <c r="AB753" s="2">
        <v>14829.62</v>
      </c>
      <c r="AC753" s="2">
        <v>3782.49</v>
      </c>
      <c r="AD753" s="16">
        <f t="shared" si="271"/>
        <v>930605.9</v>
      </c>
      <c r="AE753" s="2"/>
      <c r="AF753" s="2">
        <f t="shared" si="276"/>
        <v>930605.9</v>
      </c>
      <c r="AG753" s="38" t="s">
        <v>857</v>
      </c>
      <c r="AH753" s="29" t="s">
        <v>1073</v>
      </c>
      <c r="AI753" s="30">
        <f>459559.75+93000+163179.08+18037.22</f>
        <v>733776.04999999993</v>
      </c>
      <c r="AJ753" s="30">
        <f>87640.32+31119.04+21175.37</f>
        <v>139934.73000000001</v>
      </c>
    </row>
    <row r="754" spans="1:109" ht="141.75" x14ac:dyDescent="0.25">
      <c r="A754" s="6">
        <v>751</v>
      </c>
      <c r="B754" s="31">
        <v>112733</v>
      </c>
      <c r="C754" s="31">
        <v>146</v>
      </c>
      <c r="D754" s="68" t="s">
        <v>143</v>
      </c>
      <c r="E754" s="24" t="s">
        <v>270</v>
      </c>
      <c r="F754" s="67" t="s">
        <v>811</v>
      </c>
      <c r="G754" s="11" t="s">
        <v>812</v>
      </c>
      <c r="H754" s="11" t="s">
        <v>813</v>
      </c>
      <c r="I754" s="120" t="s">
        <v>814</v>
      </c>
      <c r="J754" s="25">
        <v>43349</v>
      </c>
      <c r="K754" s="25">
        <v>43836</v>
      </c>
      <c r="L754" s="26">
        <f t="shared" si="273"/>
        <v>82.53318349196968</v>
      </c>
      <c r="M754" s="11" t="s">
        <v>272</v>
      </c>
      <c r="N754" s="11" t="s">
        <v>261</v>
      </c>
      <c r="O754" s="11" t="s">
        <v>261</v>
      </c>
      <c r="P754" s="27" t="s">
        <v>274</v>
      </c>
      <c r="Q754" s="11" t="s">
        <v>34</v>
      </c>
      <c r="R754" s="2">
        <f t="shared" si="278"/>
        <v>819750.19</v>
      </c>
      <c r="S754" s="2">
        <v>661057.13</v>
      </c>
      <c r="T754" s="2">
        <v>158693.06</v>
      </c>
      <c r="U754" s="2">
        <f t="shared" si="277"/>
        <v>134642.41999999998</v>
      </c>
      <c r="V754" s="28">
        <v>100473.09</v>
      </c>
      <c r="W754" s="28">
        <v>34169.33</v>
      </c>
      <c r="X754" s="2">
        <f t="shared" si="274"/>
        <v>21688.010000000002</v>
      </c>
      <c r="Y754" s="2">
        <v>16184.04</v>
      </c>
      <c r="Z754" s="2">
        <v>5503.97</v>
      </c>
      <c r="AA754" s="2">
        <f t="shared" si="275"/>
        <v>17156.47</v>
      </c>
      <c r="AB754" s="2">
        <v>13669.8</v>
      </c>
      <c r="AC754" s="2">
        <v>3486.67</v>
      </c>
      <c r="AD754" s="16">
        <f t="shared" si="271"/>
        <v>993237.08999999985</v>
      </c>
      <c r="AE754" s="2"/>
      <c r="AF754" s="2">
        <f t="shared" si="276"/>
        <v>993237.08999999985</v>
      </c>
      <c r="AG754" s="38" t="s">
        <v>857</v>
      </c>
      <c r="AH754" s="29" t="s">
        <v>294</v>
      </c>
      <c r="AI754" s="30">
        <f>85782.36-3113.23+78199.1+6754.09+75351.32+67788.76+80934.28+47367.75+243835.23+7975.27+6575.1</f>
        <v>697450.03</v>
      </c>
      <c r="AJ754" s="30">
        <f>12524.47+12068.37+12962.55+11810.14+16080.76+46500.56+1520.93</f>
        <v>113467.78</v>
      </c>
    </row>
    <row r="755" spans="1:109" ht="155.25" customHeight="1" x14ac:dyDescent="0.25">
      <c r="A755" s="6">
        <v>752</v>
      </c>
      <c r="B755" s="31">
        <v>111432</v>
      </c>
      <c r="C755" s="31">
        <v>277</v>
      </c>
      <c r="D755" s="68" t="s">
        <v>143</v>
      </c>
      <c r="E755" s="24" t="s">
        <v>270</v>
      </c>
      <c r="F755" s="27" t="s">
        <v>816</v>
      </c>
      <c r="G755" s="11" t="s">
        <v>815</v>
      </c>
      <c r="H755" s="11" t="s">
        <v>817</v>
      </c>
      <c r="I755" s="12" t="s">
        <v>2964</v>
      </c>
      <c r="J755" s="25">
        <v>43349</v>
      </c>
      <c r="K755" s="25">
        <v>43836</v>
      </c>
      <c r="L755" s="26">
        <f t="shared" si="273"/>
        <v>82.304186591731991</v>
      </c>
      <c r="M755" s="11" t="s">
        <v>272</v>
      </c>
      <c r="N755" s="11" t="s">
        <v>261</v>
      </c>
      <c r="O755" s="11" t="s">
        <v>261</v>
      </c>
      <c r="P755" s="27" t="s">
        <v>274</v>
      </c>
      <c r="Q755" s="11" t="s">
        <v>34</v>
      </c>
      <c r="R755" s="2">
        <f t="shared" si="278"/>
        <v>811369.98</v>
      </c>
      <c r="S755" s="2">
        <v>654299.23</v>
      </c>
      <c r="T755" s="2">
        <v>157070.75</v>
      </c>
      <c r="U755" s="2">
        <f t="shared" si="277"/>
        <v>154732.24</v>
      </c>
      <c r="V755" s="28">
        <v>115464.54</v>
      </c>
      <c r="W755" s="28">
        <v>39267.699999999997</v>
      </c>
      <c r="X755" s="2">
        <f t="shared" si="274"/>
        <v>0</v>
      </c>
      <c r="Y755" s="2">
        <v>0</v>
      </c>
      <c r="Z755" s="2">
        <v>0</v>
      </c>
      <c r="AA755" s="2">
        <f t="shared" si="275"/>
        <v>19716.38</v>
      </c>
      <c r="AB755" s="2">
        <v>15709.45</v>
      </c>
      <c r="AC755" s="2">
        <v>4006.93</v>
      </c>
      <c r="AD755" s="16">
        <f t="shared" si="271"/>
        <v>985818.6</v>
      </c>
      <c r="AE755" s="2">
        <v>0</v>
      </c>
      <c r="AF755" s="2">
        <f t="shared" si="276"/>
        <v>985818.6</v>
      </c>
      <c r="AG755" s="38" t="s">
        <v>857</v>
      </c>
      <c r="AH755" s="29" t="s">
        <v>1382</v>
      </c>
      <c r="AI755" s="30">
        <f>98500+28477.95+215174.75+92328.2+224990.6+149766.49-5027.14-10718.19</f>
        <v>793492.66</v>
      </c>
      <c r="AJ755" s="30">
        <f>23037.95+41034.92+43208.62+30634.3+13407.25</f>
        <v>151323.03999999998</v>
      </c>
    </row>
    <row r="756" spans="1:109" ht="330.75" x14ac:dyDescent="0.25">
      <c r="A756" s="6">
        <v>753</v>
      </c>
      <c r="B756" s="31">
        <v>112592</v>
      </c>
      <c r="C756" s="31">
        <v>144</v>
      </c>
      <c r="D756" s="11" t="s">
        <v>143</v>
      </c>
      <c r="E756" s="24" t="s">
        <v>270</v>
      </c>
      <c r="F756" s="27" t="s">
        <v>818</v>
      </c>
      <c r="G756" s="11" t="s">
        <v>819</v>
      </c>
      <c r="H756" s="8" t="s">
        <v>151</v>
      </c>
      <c r="I756" s="120" t="s">
        <v>2965</v>
      </c>
      <c r="J756" s="25">
        <v>43349</v>
      </c>
      <c r="K756" s="25">
        <v>43836</v>
      </c>
      <c r="L756" s="26">
        <f t="shared" si="273"/>
        <v>82.304195666897996</v>
      </c>
      <c r="M756" s="11" t="s">
        <v>272</v>
      </c>
      <c r="N756" s="11" t="s">
        <v>261</v>
      </c>
      <c r="O756" s="11" t="s">
        <v>261</v>
      </c>
      <c r="P756" s="27" t="s">
        <v>274</v>
      </c>
      <c r="Q756" s="56" t="s">
        <v>34</v>
      </c>
      <c r="R756" s="2">
        <f t="shared" si="278"/>
        <v>809057.98</v>
      </c>
      <c r="S756" s="2">
        <v>652434.75</v>
      </c>
      <c r="T756" s="2">
        <v>156623.23000000001</v>
      </c>
      <c r="U756" s="2">
        <f t="shared" si="277"/>
        <v>154291.24</v>
      </c>
      <c r="V756" s="28">
        <v>115135.49</v>
      </c>
      <c r="W756" s="28">
        <v>39155.75</v>
      </c>
      <c r="X756" s="2">
        <f t="shared" si="274"/>
        <v>0</v>
      </c>
      <c r="Y756" s="2">
        <v>0</v>
      </c>
      <c r="Z756" s="2">
        <v>0</v>
      </c>
      <c r="AA756" s="2">
        <f t="shared" si="275"/>
        <v>19660.18</v>
      </c>
      <c r="AB756" s="2">
        <v>15664.68</v>
      </c>
      <c r="AC756" s="2">
        <v>3995.5</v>
      </c>
      <c r="AD756" s="16">
        <f t="shared" si="271"/>
        <v>983009.4</v>
      </c>
      <c r="AE756" s="2">
        <v>0</v>
      </c>
      <c r="AF756" s="2">
        <f t="shared" si="276"/>
        <v>983009.4</v>
      </c>
      <c r="AG756" s="38" t="s">
        <v>857</v>
      </c>
      <c r="AH756" s="29" t="s">
        <v>294</v>
      </c>
      <c r="AI756" s="30">
        <f>409932.52+98300+186513.93+69525</f>
        <v>764271.45</v>
      </c>
      <c r="AJ756" s="30">
        <f>78176.15+54315.44+13258.71</f>
        <v>145750.29999999999</v>
      </c>
    </row>
    <row r="757" spans="1:109" ht="267.75" x14ac:dyDescent="0.25">
      <c r="A757" s="6">
        <v>754</v>
      </c>
      <c r="B757" s="31">
        <v>111141</v>
      </c>
      <c r="C757" s="31">
        <v>312</v>
      </c>
      <c r="D757" s="11" t="s">
        <v>143</v>
      </c>
      <c r="E757" s="24" t="s">
        <v>270</v>
      </c>
      <c r="F757" s="27" t="s">
        <v>826</v>
      </c>
      <c r="G757" s="11" t="s">
        <v>827</v>
      </c>
      <c r="H757" s="11" t="s">
        <v>828</v>
      </c>
      <c r="I757" s="120" t="s">
        <v>2966</v>
      </c>
      <c r="J757" s="25">
        <v>43349</v>
      </c>
      <c r="K757" s="25">
        <v>43836</v>
      </c>
      <c r="L757" s="26">
        <f t="shared" si="273"/>
        <v>82.8034002708998</v>
      </c>
      <c r="M757" s="11" t="s">
        <v>272</v>
      </c>
      <c r="N757" s="11" t="s">
        <v>261</v>
      </c>
      <c r="O757" s="11" t="s">
        <v>261</v>
      </c>
      <c r="P757" s="27" t="s">
        <v>274</v>
      </c>
      <c r="Q757" s="56" t="s">
        <v>34</v>
      </c>
      <c r="R757" s="2">
        <f t="shared" si="278"/>
        <v>826298.46000000008</v>
      </c>
      <c r="S757" s="2">
        <v>666337.68000000005</v>
      </c>
      <c r="T757" s="2">
        <v>159960.78</v>
      </c>
      <c r="U757" s="2">
        <f t="shared" si="277"/>
        <v>151647.47000000003</v>
      </c>
      <c r="V757" s="28">
        <v>112862.79000000001</v>
      </c>
      <c r="W757" s="28">
        <v>38784.680000000008</v>
      </c>
      <c r="X757" s="2">
        <f t="shared" si="274"/>
        <v>0</v>
      </c>
      <c r="Y757" s="2">
        <v>0</v>
      </c>
      <c r="Z757" s="2">
        <v>0</v>
      </c>
      <c r="AA757" s="2">
        <f t="shared" si="275"/>
        <v>19958.09</v>
      </c>
      <c r="AB757" s="2">
        <v>15902.08</v>
      </c>
      <c r="AC757" s="2">
        <v>4056.01</v>
      </c>
      <c r="AD757" s="16">
        <f t="shared" si="271"/>
        <v>997904.02000000014</v>
      </c>
      <c r="AE757" s="2">
        <v>0</v>
      </c>
      <c r="AF757" s="2">
        <f t="shared" si="276"/>
        <v>997904.02000000014</v>
      </c>
      <c r="AG757" s="38" t="s">
        <v>857</v>
      </c>
      <c r="AH757" s="29"/>
      <c r="AI757" s="30">
        <f>632254.35-10189.51+33087.89+85540.85+35748.72</f>
        <v>776442.29999999993</v>
      </c>
      <c r="AJ757" s="30">
        <f>11343.79+2719.14+19935.24+14501.99+9712.84+39877.8+10189.51+12230.9+14249.55+7931</f>
        <v>142691.75999999998</v>
      </c>
    </row>
    <row r="758" spans="1:109" ht="330.75" x14ac:dyDescent="0.25">
      <c r="A758" s="6">
        <v>755</v>
      </c>
      <c r="B758" s="31">
        <v>110676</v>
      </c>
      <c r="C758" s="31">
        <v>129</v>
      </c>
      <c r="D758" s="11" t="s">
        <v>143</v>
      </c>
      <c r="E758" s="24" t="s">
        <v>270</v>
      </c>
      <c r="F758" s="11" t="s">
        <v>829</v>
      </c>
      <c r="G758" s="11" t="s">
        <v>830</v>
      </c>
      <c r="H758" s="11"/>
      <c r="I758" s="120" t="s">
        <v>2967</v>
      </c>
      <c r="J758" s="25">
        <v>43350</v>
      </c>
      <c r="K758" s="25">
        <v>43715</v>
      </c>
      <c r="L758" s="26">
        <f t="shared" si="273"/>
        <v>82.304181371109394</v>
      </c>
      <c r="M758" s="11" t="s">
        <v>272</v>
      </c>
      <c r="N758" s="11" t="s">
        <v>261</v>
      </c>
      <c r="O758" s="11" t="s">
        <v>261</v>
      </c>
      <c r="P758" s="27" t="s">
        <v>274</v>
      </c>
      <c r="Q758" s="56" t="s">
        <v>34</v>
      </c>
      <c r="R758" s="2">
        <f t="shared" si="278"/>
        <v>815129.60000000009</v>
      </c>
      <c r="S758" s="2">
        <v>657331.03</v>
      </c>
      <c r="T758" s="2">
        <v>157798.57</v>
      </c>
      <c r="U758" s="2">
        <f t="shared" si="277"/>
        <v>155449.32</v>
      </c>
      <c r="V758" s="28">
        <v>115999.63</v>
      </c>
      <c r="W758" s="28">
        <v>39449.69</v>
      </c>
      <c r="X758" s="2">
        <f t="shared" si="274"/>
        <v>0</v>
      </c>
      <c r="Y758" s="2">
        <v>0</v>
      </c>
      <c r="Z758" s="2">
        <v>0</v>
      </c>
      <c r="AA758" s="2">
        <f t="shared" si="275"/>
        <v>19807.7</v>
      </c>
      <c r="AB758" s="2">
        <v>15782.23</v>
      </c>
      <c r="AC758" s="2">
        <v>4025.47</v>
      </c>
      <c r="AD758" s="16">
        <f t="shared" si="271"/>
        <v>990386.62000000011</v>
      </c>
      <c r="AE758" s="2">
        <v>0</v>
      </c>
      <c r="AF758" s="2">
        <f t="shared" si="276"/>
        <v>990386.62000000011</v>
      </c>
      <c r="AG758" s="21" t="s">
        <v>857</v>
      </c>
      <c r="AH758" s="29" t="s">
        <v>978</v>
      </c>
      <c r="AI758" s="30">
        <f>743622.47+43643.44+7380.99</f>
        <v>794646.89999999991</v>
      </c>
      <c r="AJ758" s="30">
        <f>123314.06+26821.35+1407.6</f>
        <v>151543.01</v>
      </c>
    </row>
    <row r="759" spans="1:109" ht="173.25" x14ac:dyDescent="0.25">
      <c r="A759" s="6">
        <v>756</v>
      </c>
      <c r="B759" s="31">
        <v>111475</v>
      </c>
      <c r="C759" s="31">
        <v>168</v>
      </c>
      <c r="D759" s="11" t="s">
        <v>143</v>
      </c>
      <c r="E759" s="24" t="s">
        <v>270</v>
      </c>
      <c r="F759" s="27" t="s">
        <v>834</v>
      </c>
      <c r="G759" s="11" t="s">
        <v>835</v>
      </c>
      <c r="H759" s="11"/>
      <c r="I759" s="120" t="s">
        <v>2968</v>
      </c>
      <c r="J759" s="25">
        <v>43353</v>
      </c>
      <c r="K759" s="25">
        <v>44022</v>
      </c>
      <c r="L759" s="26">
        <f t="shared" si="273"/>
        <v>82.304183420576962</v>
      </c>
      <c r="M759" s="11" t="s">
        <v>272</v>
      </c>
      <c r="N759" s="11" t="s">
        <v>261</v>
      </c>
      <c r="O759" s="11" t="s">
        <v>261</v>
      </c>
      <c r="P759" s="27" t="s">
        <v>274</v>
      </c>
      <c r="Q759" s="56" t="s">
        <v>34</v>
      </c>
      <c r="R759" s="2">
        <f t="shared" si="278"/>
        <v>771409.35000000009</v>
      </c>
      <c r="S759" s="2">
        <v>622074.41</v>
      </c>
      <c r="T759" s="2">
        <v>149334.94</v>
      </c>
      <c r="U759" s="2">
        <f t="shared" si="277"/>
        <v>147111.59</v>
      </c>
      <c r="V759" s="28">
        <v>109777.84</v>
      </c>
      <c r="W759" s="28">
        <v>37333.75</v>
      </c>
      <c r="X759" s="2">
        <f t="shared" si="274"/>
        <v>0</v>
      </c>
      <c r="Y759" s="2">
        <v>0</v>
      </c>
      <c r="Z759" s="2">
        <v>0</v>
      </c>
      <c r="AA759" s="2">
        <f t="shared" si="275"/>
        <v>18745.329999999998</v>
      </c>
      <c r="AB759" s="2">
        <v>14935.8</v>
      </c>
      <c r="AC759" s="2">
        <v>3809.53</v>
      </c>
      <c r="AD759" s="16">
        <f t="shared" si="271"/>
        <v>937266.27</v>
      </c>
      <c r="AE759" s="2">
        <v>0</v>
      </c>
      <c r="AF759" s="2">
        <f t="shared" si="276"/>
        <v>937266.27</v>
      </c>
      <c r="AG759" s="21" t="s">
        <v>857</v>
      </c>
      <c r="AH759" s="29" t="s">
        <v>1302</v>
      </c>
      <c r="AI759" s="30">
        <f>588678.78+85709.9-9801.35</f>
        <v>664587.33000000007</v>
      </c>
      <c r="AJ759" s="30">
        <f>94389.89+16345.34+16004.96</f>
        <v>126740.19</v>
      </c>
    </row>
    <row r="760" spans="1:109" ht="173.25" x14ac:dyDescent="0.25">
      <c r="A760" s="6">
        <v>757</v>
      </c>
      <c r="B760" s="15">
        <v>118813</v>
      </c>
      <c r="C760" s="15">
        <v>449</v>
      </c>
      <c r="D760" s="32" t="s">
        <v>1639</v>
      </c>
      <c r="E760" s="24" t="s">
        <v>523</v>
      </c>
      <c r="F760" s="27" t="s">
        <v>832</v>
      </c>
      <c r="G760" s="11" t="s">
        <v>1716</v>
      </c>
      <c r="H760" s="27" t="s">
        <v>1919</v>
      </c>
      <c r="I760" s="161" t="s">
        <v>833</v>
      </c>
      <c r="J760" s="25">
        <v>43350</v>
      </c>
      <c r="K760" s="25">
        <v>45267</v>
      </c>
      <c r="L760" s="26">
        <f t="shared" si="273"/>
        <v>83.983860839237224</v>
      </c>
      <c r="M760" s="11" t="s">
        <v>272</v>
      </c>
      <c r="N760" s="11" t="s">
        <v>261</v>
      </c>
      <c r="O760" s="11" t="s">
        <v>261</v>
      </c>
      <c r="P760" s="27" t="s">
        <v>138</v>
      </c>
      <c r="Q760" s="56" t="s">
        <v>34</v>
      </c>
      <c r="R760" s="2">
        <f t="shared" si="278"/>
        <v>4176569.1</v>
      </c>
      <c r="S760" s="2">
        <v>3368039.08</v>
      </c>
      <c r="T760" s="2">
        <v>808530.02</v>
      </c>
      <c r="U760" s="2">
        <f t="shared" si="277"/>
        <v>0</v>
      </c>
      <c r="V760" s="28">
        <v>0</v>
      </c>
      <c r="W760" s="28">
        <v>0</v>
      </c>
      <c r="X760" s="2">
        <f t="shared" si="274"/>
        <v>796492.46</v>
      </c>
      <c r="Y760" s="2">
        <v>594359.94999999995</v>
      </c>
      <c r="Z760" s="2">
        <v>202132.51</v>
      </c>
      <c r="AA760" s="2">
        <f t="shared" si="275"/>
        <v>0</v>
      </c>
      <c r="AB760" s="2">
        <v>0</v>
      </c>
      <c r="AC760" s="2">
        <v>0</v>
      </c>
      <c r="AD760" s="16">
        <f t="shared" si="271"/>
        <v>4973061.5600000005</v>
      </c>
      <c r="AE760" s="2">
        <v>0</v>
      </c>
      <c r="AF760" s="2">
        <f t="shared" si="276"/>
        <v>4973061.5600000005</v>
      </c>
      <c r="AG760" s="38" t="s">
        <v>486</v>
      </c>
      <c r="AH760" s="160" t="s">
        <v>3260</v>
      </c>
      <c r="AI760" s="30">
        <f>15282.4+285261.79+452078.97+376522.78</f>
        <v>1129145.94</v>
      </c>
      <c r="AJ760" s="30">
        <v>0</v>
      </c>
    </row>
    <row r="761" spans="1:109" ht="236.25" x14ac:dyDescent="0.25">
      <c r="A761" s="6">
        <v>758</v>
      </c>
      <c r="B761" s="31">
        <v>126532</v>
      </c>
      <c r="C761" s="31">
        <v>500</v>
      </c>
      <c r="D761" s="97" t="s">
        <v>1640</v>
      </c>
      <c r="E761" s="32" t="s">
        <v>983</v>
      </c>
      <c r="F761" s="11" t="s">
        <v>986</v>
      </c>
      <c r="G761" s="11" t="s">
        <v>985</v>
      </c>
      <c r="H761" s="8" t="s">
        <v>151</v>
      </c>
      <c r="I761" s="46" t="s">
        <v>987</v>
      </c>
      <c r="J761" s="25">
        <v>43516</v>
      </c>
      <c r="K761" s="25">
        <v>44336</v>
      </c>
      <c r="L761" s="26">
        <f t="shared" si="273"/>
        <v>83.299999838210468</v>
      </c>
      <c r="M761" s="11" t="s">
        <v>988</v>
      </c>
      <c r="N761" s="11" t="s">
        <v>989</v>
      </c>
      <c r="O761" s="11" t="s">
        <v>989</v>
      </c>
      <c r="P761" s="11" t="s">
        <v>274</v>
      </c>
      <c r="Q761" s="11" t="s">
        <v>34</v>
      </c>
      <c r="R761" s="30">
        <f t="shared" si="278"/>
        <v>2059465.88</v>
      </c>
      <c r="S761" s="2">
        <v>2059465.88</v>
      </c>
      <c r="T761" s="2">
        <v>0</v>
      </c>
      <c r="U761" s="30">
        <f t="shared" si="277"/>
        <v>363435.16</v>
      </c>
      <c r="V761" s="28">
        <v>363435.16</v>
      </c>
      <c r="W761" s="28">
        <v>0</v>
      </c>
      <c r="X761" s="30">
        <f t="shared" si="274"/>
        <v>0</v>
      </c>
      <c r="Y761" s="2">
        <v>0</v>
      </c>
      <c r="Z761" s="2">
        <v>0</v>
      </c>
      <c r="AA761" s="2">
        <f t="shared" si="275"/>
        <v>49446.96</v>
      </c>
      <c r="AB761" s="2">
        <v>49446.96</v>
      </c>
      <c r="AC761" s="2">
        <v>0</v>
      </c>
      <c r="AD761" s="16">
        <f t="shared" si="271"/>
        <v>2472348</v>
      </c>
      <c r="AE761" s="2">
        <v>0</v>
      </c>
      <c r="AF761" s="2">
        <f t="shared" si="276"/>
        <v>2472348</v>
      </c>
      <c r="AG761" s="38" t="s">
        <v>857</v>
      </c>
      <c r="AH761" s="29" t="s">
        <v>1727</v>
      </c>
      <c r="AI761" s="30">
        <f>1040799.12+310822.29+233529.06-13700.94+290881.93</f>
        <v>1862331.46</v>
      </c>
      <c r="AJ761" s="30">
        <f>140041.6+54850.99+41211+41211+51332.11</f>
        <v>328646.69999999995</v>
      </c>
      <c r="AK761" s="43"/>
      <c r="AL761" s="43"/>
      <c r="AM761" s="43"/>
      <c r="AN761" s="43"/>
      <c r="AO761" s="43"/>
      <c r="AP761" s="43"/>
      <c r="AQ761" s="43"/>
      <c r="AR761" s="43"/>
      <c r="AS761" s="43"/>
      <c r="AT761" s="43"/>
      <c r="AU761" s="43"/>
      <c r="AV761" s="43"/>
      <c r="AW761" s="43"/>
      <c r="AX761" s="43"/>
      <c r="AY761" s="43"/>
      <c r="AZ761" s="43"/>
      <c r="BA761" s="43"/>
      <c r="BB761" s="43"/>
      <c r="BC761" s="43"/>
      <c r="BD761" s="43"/>
      <c r="BE761" s="43"/>
      <c r="BF761" s="43"/>
      <c r="BG761" s="43"/>
      <c r="BH761" s="43"/>
      <c r="BI761" s="43"/>
      <c r="BJ761" s="43"/>
      <c r="BK761" s="43"/>
      <c r="BL761" s="43"/>
      <c r="BM761" s="43"/>
      <c r="BN761" s="43"/>
      <c r="BO761" s="43"/>
      <c r="BP761" s="43"/>
      <c r="BQ761" s="43"/>
      <c r="BR761" s="43"/>
      <c r="BS761" s="43"/>
      <c r="BT761" s="43"/>
      <c r="BU761" s="43"/>
      <c r="BV761" s="43"/>
      <c r="BW761" s="43"/>
      <c r="BX761" s="43"/>
      <c r="BY761" s="43"/>
      <c r="BZ761" s="43"/>
      <c r="CA761" s="43"/>
      <c r="CB761" s="43"/>
      <c r="CC761" s="43"/>
      <c r="CD761" s="43"/>
      <c r="CE761" s="43"/>
      <c r="CF761" s="43"/>
      <c r="CG761" s="43"/>
      <c r="CH761" s="43"/>
      <c r="CI761" s="43"/>
      <c r="CJ761" s="43"/>
      <c r="CK761" s="43"/>
      <c r="CL761" s="43"/>
      <c r="CM761" s="43"/>
      <c r="CN761" s="43"/>
      <c r="CO761" s="43"/>
      <c r="CP761" s="43"/>
      <c r="CQ761" s="43"/>
      <c r="CR761" s="43"/>
      <c r="CS761" s="43"/>
      <c r="CT761" s="43"/>
      <c r="CU761" s="43"/>
      <c r="CV761" s="43"/>
      <c r="CW761" s="43"/>
      <c r="CX761" s="43"/>
      <c r="CY761" s="43"/>
      <c r="CZ761" s="43"/>
      <c r="DA761" s="43"/>
      <c r="DB761" s="43"/>
      <c r="DC761" s="43"/>
      <c r="DD761" s="43"/>
      <c r="DE761" s="43"/>
    </row>
    <row r="762" spans="1:109" ht="189" x14ac:dyDescent="0.25">
      <c r="A762" s="6">
        <v>759</v>
      </c>
      <c r="B762" s="31">
        <v>112820</v>
      </c>
      <c r="C762" s="31">
        <v>158</v>
      </c>
      <c r="D762" s="11" t="s">
        <v>143</v>
      </c>
      <c r="E762" s="24" t="s">
        <v>270</v>
      </c>
      <c r="F762" s="27" t="s">
        <v>840</v>
      </c>
      <c r="G762" s="27" t="s">
        <v>841</v>
      </c>
      <c r="H762" s="8" t="s">
        <v>151</v>
      </c>
      <c r="I762" s="120" t="s">
        <v>2969</v>
      </c>
      <c r="J762" s="25">
        <v>43361</v>
      </c>
      <c r="K762" s="25">
        <v>43848</v>
      </c>
      <c r="L762" s="26">
        <f t="shared" si="273"/>
        <v>82.304187792803134</v>
      </c>
      <c r="M762" s="11" t="s">
        <v>272</v>
      </c>
      <c r="N762" s="11" t="s">
        <v>189</v>
      </c>
      <c r="O762" s="11" t="s">
        <v>842</v>
      </c>
      <c r="P762" s="27" t="s">
        <v>274</v>
      </c>
      <c r="Q762" s="56" t="s">
        <v>34</v>
      </c>
      <c r="R762" s="2">
        <f t="shared" si="278"/>
        <v>812316.49</v>
      </c>
      <c r="S762" s="2">
        <v>655062.44999999995</v>
      </c>
      <c r="T762" s="2">
        <v>157254.04</v>
      </c>
      <c r="U762" s="2">
        <f t="shared" si="277"/>
        <v>154912.73000000001</v>
      </c>
      <c r="V762" s="28">
        <v>115599.25</v>
      </c>
      <c r="W762" s="28">
        <v>39313.480000000003</v>
      </c>
      <c r="X762" s="2">
        <f t="shared" si="274"/>
        <v>0</v>
      </c>
      <c r="Y762" s="2">
        <v>0</v>
      </c>
      <c r="Z762" s="2">
        <v>0</v>
      </c>
      <c r="AA762" s="2">
        <f t="shared" si="275"/>
        <v>19739.38</v>
      </c>
      <c r="AB762" s="2">
        <v>15727.81</v>
      </c>
      <c r="AC762" s="2">
        <v>4011.57</v>
      </c>
      <c r="AD762" s="16">
        <f t="shared" si="271"/>
        <v>986968.6</v>
      </c>
      <c r="AE762" s="2"/>
      <c r="AF762" s="2">
        <f t="shared" si="276"/>
        <v>986968.6</v>
      </c>
      <c r="AG762" s="38" t="s">
        <v>857</v>
      </c>
      <c r="AH762" s="29"/>
      <c r="AI762" s="30">
        <f>385890.19+98696.6+156767.33+71161.76+44833.4</f>
        <v>757349.28</v>
      </c>
      <c r="AJ762" s="30">
        <f>73591.17+48718.2+13570.88+8549.93</f>
        <v>144430.18</v>
      </c>
    </row>
    <row r="763" spans="1:109" ht="204.75" x14ac:dyDescent="0.25">
      <c r="A763" s="6">
        <v>760</v>
      </c>
      <c r="B763" s="31">
        <v>111916</v>
      </c>
      <c r="C763" s="31">
        <v>145</v>
      </c>
      <c r="D763" s="11" t="s">
        <v>143</v>
      </c>
      <c r="E763" s="24" t="s">
        <v>270</v>
      </c>
      <c r="F763" s="27" t="s">
        <v>843</v>
      </c>
      <c r="G763" s="27" t="s">
        <v>844</v>
      </c>
      <c r="H763" s="8" t="s">
        <v>151</v>
      </c>
      <c r="I763" s="120" t="s">
        <v>2970</v>
      </c>
      <c r="J763" s="25">
        <v>43361</v>
      </c>
      <c r="K763" s="25">
        <v>43848</v>
      </c>
      <c r="L763" s="26">
        <f t="shared" si="273"/>
        <v>82.304185955094169</v>
      </c>
      <c r="M763" s="11" t="s">
        <v>272</v>
      </c>
      <c r="N763" s="11" t="s">
        <v>763</v>
      </c>
      <c r="O763" s="11" t="s">
        <v>763</v>
      </c>
      <c r="P763" s="27" t="s">
        <v>274</v>
      </c>
      <c r="Q763" s="56" t="s">
        <v>34</v>
      </c>
      <c r="R763" s="2">
        <f t="shared" si="278"/>
        <v>810699.03</v>
      </c>
      <c r="S763" s="2">
        <v>653758.11</v>
      </c>
      <c r="T763" s="2">
        <v>156940.92000000001</v>
      </c>
      <c r="U763" s="2">
        <f t="shared" si="277"/>
        <v>154604.29</v>
      </c>
      <c r="V763" s="28">
        <v>115369.07</v>
      </c>
      <c r="W763" s="28">
        <v>39235.22</v>
      </c>
      <c r="X763" s="2">
        <f t="shared" si="274"/>
        <v>0</v>
      </c>
      <c r="Y763" s="2">
        <v>0</v>
      </c>
      <c r="Z763" s="2">
        <v>0</v>
      </c>
      <c r="AA763" s="2">
        <f t="shared" si="275"/>
        <v>19700.080000000002</v>
      </c>
      <c r="AB763" s="2">
        <v>15696.51</v>
      </c>
      <c r="AC763" s="2">
        <v>4003.57</v>
      </c>
      <c r="AD763" s="16">
        <f t="shared" si="271"/>
        <v>985003.4</v>
      </c>
      <c r="AE763" s="2"/>
      <c r="AF763" s="2">
        <f t="shared" si="276"/>
        <v>985003.4</v>
      </c>
      <c r="AG763" s="38" t="s">
        <v>857</v>
      </c>
      <c r="AH763" s="29"/>
      <c r="AI763" s="30">
        <f>98000+15936.3+98000+14229.11+98000+184958.55+34915.59+218662.58+34786.69</f>
        <v>797488.81999999983</v>
      </c>
      <c r="AJ763" s="30">
        <f>21728.22+21402.65+35272.51+25347.65+41700.04+6633.99</f>
        <v>152085.06</v>
      </c>
    </row>
    <row r="764" spans="1:109" ht="96" customHeight="1" x14ac:dyDescent="0.25">
      <c r="A764" s="6">
        <v>761</v>
      </c>
      <c r="B764" s="31">
        <v>116156</v>
      </c>
      <c r="C764" s="31">
        <v>392</v>
      </c>
      <c r="D764" s="11" t="s">
        <v>143</v>
      </c>
      <c r="E764" s="24" t="s">
        <v>373</v>
      </c>
      <c r="F764" s="67" t="s">
        <v>845</v>
      </c>
      <c r="G764" s="11" t="s">
        <v>1942</v>
      </c>
      <c r="H764" s="11" t="s">
        <v>846</v>
      </c>
      <c r="I764" s="32" t="s">
        <v>1591</v>
      </c>
      <c r="J764" s="25">
        <v>43356</v>
      </c>
      <c r="K764" s="25">
        <v>44908</v>
      </c>
      <c r="L764" s="26">
        <f t="shared" si="273"/>
        <v>83.983861962743134</v>
      </c>
      <c r="M764" s="11" t="s">
        <v>272</v>
      </c>
      <c r="N764" s="11" t="s">
        <v>261</v>
      </c>
      <c r="O764" s="11" t="s">
        <v>261</v>
      </c>
      <c r="P764" s="27" t="s">
        <v>138</v>
      </c>
      <c r="Q764" s="11" t="s">
        <v>34</v>
      </c>
      <c r="R764" s="2">
        <f t="shared" si="278"/>
        <v>2299022.9900000002</v>
      </c>
      <c r="S764" s="2">
        <v>1853961.73</v>
      </c>
      <c r="T764" s="2">
        <v>445061.26</v>
      </c>
      <c r="U764" s="2">
        <f t="shared" si="277"/>
        <v>0</v>
      </c>
      <c r="V764" s="28">
        <v>0</v>
      </c>
      <c r="W764" s="28">
        <v>0</v>
      </c>
      <c r="X764" s="2">
        <f t="shared" ref="X764:X780" si="279">Y764+Z764</f>
        <v>438435.06</v>
      </c>
      <c r="Y764" s="2">
        <v>327169.75</v>
      </c>
      <c r="Z764" s="2">
        <v>111265.31</v>
      </c>
      <c r="AA764" s="2">
        <f t="shared" ref="AA764:AA787" si="280">AB764+AC764</f>
        <v>0</v>
      </c>
      <c r="AB764" s="2">
        <v>0</v>
      </c>
      <c r="AC764" s="2">
        <v>0</v>
      </c>
      <c r="AD764" s="16">
        <f t="shared" si="271"/>
        <v>2737458.0500000003</v>
      </c>
      <c r="AE764" s="2"/>
      <c r="AF764" s="2">
        <f t="shared" ref="AF764:AF793" si="281">AD764+AE764</f>
        <v>2737458.0500000003</v>
      </c>
      <c r="AG764" s="38" t="s">
        <v>1412</v>
      </c>
      <c r="AH764" s="29" t="s">
        <v>1800</v>
      </c>
      <c r="AI764" s="30">
        <f>194922.68+48813.95+146150.63+39090.27+127031.01+26684.2+32010.45+45499.94+192459.09+29074.37+123869.59</f>
        <v>1005606.1799999998</v>
      </c>
      <c r="AJ764" s="30">
        <v>0</v>
      </c>
    </row>
    <row r="765" spans="1:109" ht="141.75" x14ac:dyDescent="0.25">
      <c r="A765" s="6">
        <v>762</v>
      </c>
      <c r="B765" s="31">
        <v>109770</v>
      </c>
      <c r="C765" s="31">
        <v>300</v>
      </c>
      <c r="D765" s="11" t="s">
        <v>143</v>
      </c>
      <c r="E765" s="24" t="s">
        <v>270</v>
      </c>
      <c r="F765" s="67" t="s">
        <v>1420</v>
      </c>
      <c r="G765" s="11" t="s">
        <v>847</v>
      </c>
      <c r="H765" s="8" t="s">
        <v>151</v>
      </c>
      <c r="I765" s="120" t="s">
        <v>848</v>
      </c>
      <c r="J765" s="25">
        <v>43362</v>
      </c>
      <c r="K765" s="25">
        <v>43849</v>
      </c>
      <c r="L765" s="26">
        <f t="shared" si="273"/>
        <v>82.304184197970017</v>
      </c>
      <c r="M765" s="11" t="s">
        <v>272</v>
      </c>
      <c r="N765" s="11" t="s">
        <v>261</v>
      </c>
      <c r="O765" s="11" t="s">
        <v>261</v>
      </c>
      <c r="P765" s="27" t="s">
        <v>274</v>
      </c>
      <c r="Q765" s="11" t="s">
        <v>34</v>
      </c>
      <c r="R765" s="2">
        <f t="shared" si="278"/>
        <v>786369.83000000007</v>
      </c>
      <c r="S765" s="2">
        <v>634138.80000000005</v>
      </c>
      <c r="T765" s="2">
        <v>152231.03</v>
      </c>
      <c r="U765" s="2">
        <f t="shared" si="277"/>
        <v>149964.62</v>
      </c>
      <c r="V765" s="28">
        <v>111906.86</v>
      </c>
      <c r="W765" s="28">
        <v>38057.760000000002</v>
      </c>
      <c r="X765" s="2">
        <f t="shared" si="279"/>
        <v>0</v>
      </c>
      <c r="Y765" s="2">
        <v>0</v>
      </c>
      <c r="Z765" s="2">
        <v>0</v>
      </c>
      <c r="AA765" s="2">
        <f t="shared" si="280"/>
        <v>19108.870000000003</v>
      </c>
      <c r="AB765" s="2">
        <v>15225.37</v>
      </c>
      <c r="AC765" s="2">
        <v>3883.5</v>
      </c>
      <c r="AD765" s="16">
        <f t="shared" si="271"/>
        <v>955443.32000000007</v>
      </c>
      <c r="AE765" s="2"/>
      <c r="AF765" s="2">
        <f t="shared" si="281"/>
        <v>955443.32000000007</v>
      </c>
      <c r="AG765" s="38" t="s">
        <v>857</v>
      </c>
      <c r="AH765" s="29"/>
      <c r="AI765" s="30">
        <f>495588.73+36434.18+37098.36+130866.04+63944.95-22724.91</f>
        <v>741207.35</v>
      </c>
      <c r="AJ765" s="30">
        <f>13512.19+19201.01+11646.04+10486.67+21444.53+15302.78+16400.64+17142.5+2328.48+13886.98</f>
        <v>141351.82</v>
      </c>
    </row>
    <row r="766" spans="1:109" ht="141.75" x14ac:dyDescent="0.25">
      <c r="A766" s="6">
        <v>763</v>
      </c>
      <c r="B766" s="31">
        <v>112155</v>
      </c>
      <c r="C766" s="31">
        <v>224</v>
      </c>
      <c r="D766" s="11" t="s">
        <v>143</v>
      </c>
      <c r="E766" s="24" t="s">
        <v>270</v>
      </c>
      <c r="F766" s="67" t="s">
        <v>849</v>
      </c>
      <c r="G766" s="11" t="s">
        <v>1331</v>
      </c>
      <c r="H766" s="11" t="s">
        <v>850</v>
      </c>
      <c r="I766" s="120" t="s">
        <v>2971</v>
      </c>
      <c r="J766" s="25">
        <v>43362</v>
      </c>
      <c r="K766" s="25">
        <v>44031</v>
      </c>
      <c r="L766" s="26">
        <f t="shared" si="273"/>
        <v>82.838167350644355</v>
      </c>
      <c r="M766" s="11" t="s">
        <v>272</v>
      </c>
      <c r="N766" s="11" t="s">
        <v>763</v>
      </c>
      <c r="O766" s="11" t="s">
        <v>763</v>
      </c>
      <c r="P766" s="27" t="s">
        <v>274</v>
      </c>
      <c r="Q766" s="11" t="s">
        <v>34</v>
      </c>
      <c r="R766" s="2">
        <f t="shared" si="278"/>
        <v>821979.65</v>
      </c>
      <c r="S766" s="2">
        <v>662854.93000000005</v>
      </c>
      <c r="T766" s="2">
        <v>159124.72</v>
      </c>
      <c r="U766" s="2">
        <f t="shared" si="277"/>
        <v>150446.54</v>
      </c>
      <c r="V766" s="28">
        <v>111947.56</v>
      </c>
      <c r="W766" s="28">
        <v>38498.980000000003</v>
      </c>
      <c r="X766" s="2">
        <f t="shared" si="279"/>
        <v>6308.99</v>
      </c>
      <c r="Y766" s="2">
        <v>5026.84</v>
      </c>
      <c r="Z766" s="2">
        <v>1282.1500000000001</v>
      </c>
      <c r="AA766" s="2">
        <f t="shared" si="280"/>
        <v>13536.47</v>
      </c>
      <c r="AB766" s="2">
        <v>10785.49</v>
      </c>
      <c r="AC766" s="2">
        <v>2750.98</v>
      </c>
      <c r="AD766" s="16">
        <f t="shared" si="271"/>
        <v>992271.65</v>
      </c>
      <c r="AE766" s="2"/>
      <c r="AF766" s="2">
        <f t="shared" si="281"/>
        <v>992271.65</v>
      </c>
      <c r="AG766" s="38" t="s">
        <v>857</v>
      </c>
      <c r="AH766" s="29" t="s">
        <v>1587</v>
      </c>
      <c r="AI766" s="30">
        <f>680682.08+95992.86</f>
        <v>776674.94</v>
      </c>
      <c r="AJ766" s="30">
        <f>124682.16+17920.66</f>
        <v>142602.82</v>
      </c>
    </row>
    <row r="767" spans="1:109" ht="267.75" x14ac:dyDescent="0.25">
      <c r="A767" s="6">
        <v>764</v>
      </c>
      <c r="B767" s="31">
        <v>111612</v>
      </c>
      <c r="C767" s="31">
        <v>153</v>
      </c>
      <c r="D767" s="11" t="s">
        <v>143</v>
      </c>
      <c r="E767" s="24" t="s">
        <v>270</v>
      </c>
      <c r="F767" s="11" t="s">
        <v>854</v>
      </c>
      <c r="G767" s="11" t="s">
        <v>855</v>
      </c>
      <c r="H767" s="11" t="s">
        <v>856</v>
      </c>
      <c r="I767" s="120" t="s">
        <v>2972</v>
      </c>
      <c r="J767" s="25">
        <v>43371</v>
      </c>
      <c r="K767" s="25">
        <v>43889</v>
      </c>
      <c r="L767" s="26">
        <f t="shared" si="273"/>
        <v>82.304183068176116</v>
      </c>
      <c r="M767" s="11" t="s">
        <v>272</v>
      </c>
      <c r="N767" s="11" t="s">
        <v>261</v>
      </c>
      <c r="O767" s="11" t="s">
        <v>261</v>
      </c>
      <c r="P767" s="27" t="s">
        <v>274</v>
      </c>
      <c r="Q767" s="11" t="s">
        <v>34</v>
      </c>
      <c r="R767" s="2">
        <f t="shared" si="278"/>
        <v>719578.88</v>
      </c>
      <c r="S767" s="2">
        <v>580277.67000000004</v>
      </c>
      <c r="T767" s="2">
        <v>139301.21</v>
      </c>
      <c r="U767" s="2">
        <f t="shared" si="277"/>
        <v>137227.27000000002</v>
      </c>
      <c r="V767" s="28">
        <v>102401.97</v>
      </c>
      <c r="W767" s="28">
        <v>34825.300000000003</v>
      </c>
      <c r="X767" s="2">
        <f t="shared" si="279"/>
        <v>0</v>
      </c>
      <c r="Y767" s="2">
        <v>0</v>
      </c>
      <c r="Z767" s="2">
        <v>0</v>
      </c>
      <c r="AA767" s="2">
        <f t="shared" si="280"/>
        <v>17485.84</v>
      </c>
      <c r="AB767" s="2">
        <v>13932.24</v>
      </c>
      <c r="AC767" s="2">
        <v>3553.6</v>
      </c>
      <c r="AD767" s="16">
        <f t="shared" si="271"/>
        <v>874291.99</v>
      </c>
      <c r="AE767" s="2"/>
      <c r="AF767" s="2">
        <f t="shared" si="281"/>
        <v>874291.99</v>
      </c>
      <c r="AG767" s="38" t="s">
        <v>1427</v>
      </c>
      <c r="AH767" s="29"/>
      <c r="AI767" s="30">
        <v>557994.05000000005</v>
      </c>
      <c r="AJ767" s="30">
        <v>106412.25</v>
      </c>
    </row>
    <row r="768" spans="1:109" ht="390" customHeight="1" x14ac:dyDescent="0.25">
      <c r="A768" s="6">
        <v>765</v>
      </c>
      <c r="B768" s="31">
        <v>110058</v>
      </c>
      <c r="C768" s="31">
        <v>302</v>
      </c>
      <c r="D768" s="11" t="s">
        <v>143</v>
      </c>
      <c r="E768" s="24" t="s">
        <v>270</v>
      </c>
      <c r="F768" s="67" t="s">
        <v>858</v>
      </c>
      <c r="G768" s="11" t="s">
        <v>859</v>
      </c>
      <c r="H768" s="11" t="s">
        <v>860</v>
      </c>
      <c r="I768" s="12" t="s">
        <v>2973</v>
      </c>
      <c r="J768" s="25">
        <v>43370</v>
      </c>
      <c r="K768" s="25">
        <v>43857</v>
      </c>
      <c r="L768" s="26">
        <f t="shared" si="273"/>
        <v>82.767157561916832</v>
      </c>
      <c r="M768" s="11" t="s">
        <v>272</v>
      </c>
      <c r="N768" s="11" t="s">
        <v>261</v>
      </c>
      <c r="O768" s="11" t="s">
        <v>261</v>
      </c>
      <c r="P768" s="27" t="s">
        <v>274</v>
      </c>
      <c r="Q768" s="11" t="s">
        <v>34</v>
      </c>
      <c r="R768" s="2">
        <f t="shared" si="278"/>
        <v>803873.75</v>
      </c>
      <c r="S768" s="2">
        <v>648254.14</v>
      </c>
      <c r="T768" s="2">
        <v>155619.60999999999</v>
      </c>
      <c r="U768" s="2">
        <f t="shared" si="277"/>
        <v>147948.57</v>
      </c>
      <c r="V768" s="28">
        <v>110131.78</v>
      </c>
      <c r="W768" s="28">
        <v>37816.79</v>
      </c>
      <c r="X768" s="2">
        <f t="shared" si="279"/>
        <v>0</v>
      </c>
      <c r="Y768" s="2">
        <v>0</v>
      </c>
      <c r="Z768" s="2">
        <v>0</v>
      </c>
      <c r="AA768" s="2">
        <f t="shared" si="280"/>
        <v>19424.939999999999</v>
      </c>
      <c r="AB768" s="2">
        <v>15477.26</v>
      </c>
      <c r="AC768" s="2">
        <v>3947.68</v>
      </c>
      <c r="AD768" s="16">
        <f t="shared" si="271"/>
        <v>971247.26</v>
      </c>
      <c r="AE768" s="37"/>
      <c r="AF768" s="2">
        <f t="shared" si="281"/>
        <v>971247.26</v>
      </c>
      <c r="AG768" s="38" t="s">
        <v>857</v>
      </c>
      <c r="AH768" s="29"/>
      <c r="AI768" s="30">
        <v>445374.68</v>
      </c>
      <c r="AJ768" s="30">
        <v>64020.07</v>
      </c>
    </row>
    <row r="769" spans="1:36" ht="390" customHeight="1" x14ac:dyDescent="0.25">
      <c r="A769" s="6">
        <v>766</v>
      </c>
      <c r="B769" s="31">
        <v>111482</v>
      </c>
      <c r="C769" s="31">
        <v>133</v>
      </c>
      <c r="D769" s="11" t="s">
        <v>143</v>
      </c>
      <c r="E769" s="24" t="s">
        <v>270</v>
      </c>
      <c r="F769" s="11" t="s">
        <v>1910</v>
      </c>
      <c r="G769" s="11" t="s">
        <v>863</v>
      </c>
      <c r="H769" s="11" t="s">
        <v>864</v>
      </c>
      <c r="I769" s="12" t="s">
        <v>2974</v>
      </c>
      <c r="J769" s="25">
        <v>43376</v>
      </c>
      <c r="K769" s="25">
        <v>43864</v>
      </c>
      <c r="L769" s="26">
        <f t="shared" si="273"/>
        <v>82.928005929547282</v>
      </c>
      <c r="M769" s="11" t="s">
        <v>272</v>
      </c>
      <c r="N769" s="11" t="s">
        <v>254</v>
      </c>
      <c r="O769" s="11" t="s">
        <v>865</v>
      </c>
      <c r="P769" s="27" t="s">
        <v>274</v>
      </c>
      <c r="Q769" s="11" t="s">
        <v>34</v>
      </c>
      <c r="R769" s="2">
        <f t="shared" si="278"/>
        <v>795878.74</v>
      </c>
      <c r="S769" s="2">
        <v>641806.86</v>
      </c>
      <c r="T769" s="2">
        <v>154071.88</v>
      </c>
      <c r="U769" s="2">
        <f t="shared" si="277"/>
        <v>144649.33000000002</v>
      </c>
      <c r="V769" s="28">
        <v>107580.1</v>
      </c>
      <c r="W769" s="28">
        <v>37069.230000000003</v>
      </c>
      <c r="X769" s="2">
        <f t="shared" si="279"/>
        <v>0</v>
      </c>
      <c r="Y769" s="2">
        <v>0</v>
      </c>
      <c r="Z769" s="2">
        <v>0</v>
      </c>
      <c r="AA769" s="2">
        <f t="shared" si="280"/>
        <v>19194.440000000002</v>
      </c>
      <c r="AB769" s="2">
        <v>15293.61</v>
      </c>
      <c r="AC769" s="2">
        <v>3900.83</v>
      </c>
      <c r="AD769" s="16">
        <f t="shared" si="271"/>
        <v>959722.51</v>
      </c>
      <c r="AE769" s="37"/>
      <c r="AF769" s="2">
        <f t="shared" si="281"/>
        <v>959722.51</v>
      </c>
      <c r="AG769" s="38" t="s">
        <v>1427</v>
      </c>
      <c r="AH769" s="29"/>
      <c r="AI769" s="30">
        <f>452366.02+99602.01+111344.12+21724.75+63905.55-5611.91+3477.02</f>
        <v>746807.56</v>
      </c>
      <c r="AJ769" s="30">
        <f>80055.29+4398.75+19458.27+15146.77+4830.12+12009.98</f>
        <v>135899.18</v>
      </c>
    </row>
    <row r="770" spans="1:36" ht="390" customHeight="1" x14ac:dyDescent="0.25">
      <c r="A770" s="6">
        <v>767</v>
      </c>
      <c r="B770" s="31">
        <v>112266</v>
      </c>
      <c r="C770" s="31">
        <v>310</v>
      </c>
      <c r="D770" s="11" t="s">
        <v>143</v>
      </c>
      <c r="E770" s="24" t="s">
        <v>270</v>
      </c>
      <c r="F770" s="11" t="s">
        <v>866</v>
      </c>
      <c r="G770" s="11" t="s">
        <v>867</v>
      </c>
      <c r="H770" s="11" t="s">
        <v>868</v>
      </c>
      <c r="I770" s="12" t="s">
        <v>2975</v>
      </c>
      <c r="J770" s="25">
        <v>43376</v>
      </c>
      <c r="K770" s="25">
        <v>43802</v>
      </c>
      <c r="L770" s="26">
        <f t="shared" si="273"/>
        <v>83.010839519489394</v>
      </c>
      <c r="M770" s="11" t="s">
        <v>272</v>
      </c>
      <c r="N770" s="11" t="s">
        <v>261</v>
      </c>
      <c r="O770" s="11" t="s">
        <v>261</v>
      </c>
      <c r="P770" s="27" t="s">
        <v>138</v>
      </c>
      <c r="Q770" s="11" t="s">
        <v>34</v>
      </c>
      <c r="R770" s="2">
        <f t="shared" si="278"/>
        <v>830076.27</v>
      </c>
      <c r="S770" s="2">
        <v>669384.21</v>
      </c>
      <c r="T770" s="2">
        <v>160692.06</v>
      </c>
      <c r="U770" s="2">
        <f t="shared" si="277"/>
        <v>149885.79999999999</v>
      </c>
      <c r="V770" s="28">
        <v>111422.7</v>
      </c>
      <c r="W770" s="28">
        <v>38463.1</v>
      </c>
      <c r="X770" s="2">
        <f t="shared" si="279"/>
        <v>0</v>
      </c>
      <c r="Y770" s="2">
        <v>0</v>
      </c>
      <c r="Z770" s="2">
        <v>0</v>
      </c>
      <c r="AA770" s="2">
        <f t="shared" si="280"/>
        <v>19999.23</v>
      </c>
      <c r="AB770" s="2">
        <v>15934.82</v>
      </c>
      <c r="AC770" s="2">
        <v>4064.41</v>
      </c>
      <c r="AD770" s="16">
        <f t="shared" si="271"/>
        <v>999961.3</v>
      </c>
      <c r="AE770" s="37"/>
      <c r="AF770" s="2">
        <f t="shared" si="281"/>
        <v>999961.3</v>
      </c>
      <c r="AG770" s="21" t="s">
        <v>857</v>
      </c>
      <c r="AH770" s="29"/>
      <c r="AI770" s="30">
        <f>469376.77+159988.61+70050.81+33529.44+16757.29</f>
        <v>749702.91999999993</v>
      </c>
      <c r="AJ770" s="30">
        <f>66498.13+28816.19+19174.69+12319.23+7898.78</f>
        <v>134707.02000000002</v>
      </c>
    </row>
    <row r="771" spans="1:36" ht="390" customHeight="1" x14ac:dyDescent="0.25">
      <c r="A771" s="6">
        <v>768</v>
      </c>
      <c r="B771" s="31">
        <v>118704</v>
      </c>
      <c r="C771" s="31">
        <v>434</v>
      </c>
      <c r="D771" s="32" t="s">
        <v>1639</v>
      </c>
      <c r="E771" s="24" t="s">
        <v>523</v>
      </c>
      <c r="F771" s="67" t="s">
        <v>869</v>
      </c>
      <c r="G771" s="11" t="s">
        <v>870</v>
      </c>
      <c r="H771" s="8" t="s">
        <v>151</v>
      </c>
      <c r="I771" s="12" t="s">
        <v>871</v>
      </c>
      <c r="J771" s="25">
        <v>43389</v>
      </c>
      <c r="K771" s="25">
        <v>43906</v>
      </c>
      <c r="L771" s="26">
        <f t="shared" si="273"/>
        <v>83.983864465105967</v>
      </c>
      <c r="M771" s="11" t="s">
        <v>272</v>
      </c>
      <c r="N771" s="11" t="s">
        <v>261</v>
      </c>
      <c r="O771" s="11" t="s">
        <v>261</v>
      </c>
      <c r="P771" s="27" t="s">
        <v>138</v>
      </c>
      <c r="Q771" s="56" t="s">
        <v>34</v>
      </c>
      <c r="R771" s="2">
        <f t="shared" si="278"/>
        <v>1448623.93</v>
      </c>
      <c r="S771" s="2">
        <v>1168188.98</v>
      </c>
      <c r="T771" s="2">
        <v>280434.95</v>
      </c>
      <c r="U771" s="2">
        <f t="shared" si="277"/>
        <v>0</v>
      </c>
      <c r="V771" s="28">
        <v>0</v>
      </c>
      <c r="W771" s="28">
        <v>0</v>
      </c>
      <c r="X771" s="2">
        <f t="shared" si="279"/>
        <v>0</v>
      </c>
      <c r="Y771" s="2">
        <v>0</v>
      </c>
      <c r="Z771" s="2">
        <v>0</v>
      </c>
      <c r="AA771" s="2">
        <f t="shared" si="280"/>
        <v>276259.7</v>
      </c>
      <c r="AB771" s="2">
        <v>206150.98</v>
      </c>
      <c r="AC771" s="2">
        <v>70108.72</v>
      </c>
      <c r="AD771" s="16">
        <f t="shared" si="271"/>
        <v>1724883.63</v>
      </c>
      <c r="AE771" s="37">
        <v>442846.63</v>
      </c>
      <c r="AF771" s="2">
        <f t="shared" si="281"/>
        <v>2167730.2599999998</v>
      </c>
      <c r="AG771" s="38" t="s">
        <v>857</v>
      </c>
      <c r="AH771" s="29" t="s">
        <v>1391</v>
      </c>
      <c r="AI771" s="30">
        <v>1389240.11</v>
      </c>
      <c r="AJ771" s="30">
        <v>0</v>
      </c>
    </row>
    <row r="772" spans="1:36" ht="288.75" customHeight="1" x14ac:dyDescent="0.25">
      <c r="A772" s="6">
        <v>769</v>
      </c>
      <c r="B772" s="31">
        <v>111265</v>
      </c>
      <c r="C772" s="31">
        <v>156</v>
      </c>
      <c r="D772" s="11" t="s">
        <v>143</v>
      </c>
      <c r="E772" s="24" t="s">
        <v>270</v>
      </c>
      <c r="F772" s="67" t="s">
        <v>874</v>
      </c>
      <c r="G772" s="11" t="s">
        <v>895</v>
      </c>
      <c r="H772" s="11" t="s">
        <v>875</v>
      </c>
      <c r="I772" s="12" t="s">
        <v>2976</v>
      </c>
      <c r="J772" s="25">
        <v>43390</v>
      </c>
      <c r="K772" s="25">
        <v>44029</v>
      </c>
      <c r="L772" s="26">
        <f t="shared" si="273"/>
        <v>82.304182001288282</v>
      </c>
      <c r="M772" s="11" t="s">
        <v>272</v>
      </c>
      <c r="N772" s="11" t="s">
        <v>226</v>
      </c>
      <c r="O772" s="11" t="s">
        <v>226</v>
      </c>
      <c r="P772" s="27" t="s">
        <v>274</v>
      </c>
      <c r="Q772" s="11" t="s">
        <v>34</v>
      </c>
      <c r="R772" s="2">
        <f t="shared" si="278"/>
        <v>800497.47</v>
      </c>
      <c r="S772" s="2">
        <v>645531.5</v>
      </c>
      <c r="T772" s="2">
        <v>154965.97</v>
      </c>
      <c r="U772" s="2">
        <f>V772+W772</f>
        <v>152658.85</v>
      </c>
      <c r="V772" s="28">
        <v>113917.34</v>
      </c>
      <c r="W772" s="28">
        <v>38741.51</v>
      </c>
      <c r="X772" s="2">
        <f t="shared" si="279"/>
        <v>0</v>
      </c>
      <c r="Y772" s="2">
        <v>0</v>
      </c>
      <c r="Z772" s="2">
        <v>0</v>
      </c>
      <c r="AA772" s="2">
        <f t="shared" si="280"/>
        <v>19452.18</v>
      </c>
      <c r="AB772" s="2">
        <v>15498.93</v>
      </c>
      <c r="AC772" s="2">
        <v>3953.25</v>
      </c>
      <c r="AD772" s="16">
        <f t="shared" si="271"/>
        <v>972608.5</v>
      </c>
      <c r="AE772" s="37"/>
      <c r="AF772" s="2">
        <f t="shared" si="281"/>
        <v>972608.5</v>
      </c>
      <c r="AG772" s="38" t="s">
        <v>857</v>
      </c>
      <c r="AH772" s="29" t="s">
        <v>1588</v>
      </c>
      <c r="AI772" s="30">
        <f>699788.34+65000-20399.56</f>
        <v>744388.77999999991</v>
      </c>
      <c r="AJ772" s="30">
        <f>130435.52+11523.1</f>
        <v>141958.62</v>
      </c>
    </row>
    <row r="773" spans="1:36" ht="390" customHeight="1" x14ac:dyDescent="0.25">
      <c r="A773" s="6">
        <v>770</v>
      </c>
      <c r="B773" s="31">
        <v>112719</v>
      </c>
      <c r="C773" s="31">
        <v>287</v>
      </c>
      <c r="D773" s="11" t="s">
        <v>143</v>
      </c>
      <c r="E773" s="24" t="s">
        <v>270</v>
      </c>
      <c r="F773" s="67" t="s">
        <v>882</v>
      </c>
      <c r="G773" s="11" t="s">
        <v>883</v>
      </c>
      <c r="H773" s="11" t="s">
        <v>884</v>
      </c>
      <c r="I773" s="12" t="s">
        <v>885</v>
      </c>
      <c r="J773" s="25">
        <v>43399</v>
      </c>
      <c r="K773" s="25">
        <v>43887</v>
      </c>
      <c r="L773" s="26">
        <f t="shared" si="273"/>
        <v>82.304184463081299</v>
      </c>
      <c r="M773" s="11" t="s">
        <v>272</v>
      </c>
      <c r="N773" s="11" t="s">
        <v>261</v>
      </c>
      <c r="O773" s="11" t="s">
        <v>261</v>
      </c>
      <c r="P773" s="27" t="s">
        <v>274</v>
      </c>
      <c r="Q773" s="11" t="s">
        <v>34</v>
      </c>
      <c r="R773" s="2">
        <f t="shared" si="278"/>
        <v>780735</v>
      </c>
      <c r="S773" s="2">
        <v>629594.75</v>
      </c>
      <c r="T773" s="2">
        <v>151140.25</v>
      </c>
      <c r="U773" s="2">
        <f t="shared" ref="U773:U799" si="282">V773+W773</f>
        <v>148890.03999999998</v>
      </c>
      <c r="V773" s="28">
        <v>111105.01</v>
      </c>
      <c r="W773" s="28">
        <v>37785.03</v>
      </c>
      <c r="X773" s="2">
        <f t="shared" si="279"/>
        <v>0</v>
      </c>
      <c r="Y773" s="2">
        <v>0</v>
      </c>
      <c r="Z773" s="2">
        <v>0</v>
      </c>
      <c r="AA773" s="2">
        <f t="shared" si="280"/>
        <v>18971.93</v>
      </c>
      <c r="AB773" s="2">
        <v>15116.28</v>
      </c>
      <c r="AC773" s="2">
        <v>3855.65</v>
      </c>
      <c r="AD773" s="16">
        <f t="shared" ref="AD773:AD836" si="283">R773+U773+X773+AA773</f>
        <v>948596.97000000009</v>
      </c>
      <c r="AE773" s="37"/>
      <c r="AF773" s="2">
        <f t="shared" si="281"/>
        <v>948596.97000000009</v>
      </c>
      <c r="AG773" s="38" t="s">
        <v>857</v>
      </c>
      <c r="AH773" s="29"/>
      <c r="AI773" s="30">
        <v>771851.04999999993</v>
      </c>
      <c r="AJ773" s="30">
        <v>147195.82</v>
      </c>
    </row>
    <row r="774" spans="1:36" ht="390" customHeight="1" x14ac:dyDescent="0.25">
      <c r="A774" s="6">
        <v>771</v>
      </c>
      <c r="B774" s="31">
        <v>112591</v>
      </c>
      <c r="C774" s="31">
        <v>205</v>
      </c>
      <c r="D774" s="11" t="s">
        <v>143</v>
      </c>
      <c r="E774" s="24" t="s">
        <v>270</v>
      </c>
      <c r="F774" s="67" t="s">
        <v>886</v>
      </c>
      <c r="G774" s="11" t="s">
        <v>887</v>
      </c>
      <c r="H774" s="11" t="s">
        <v>889</v>
      </c>
      <c r="I774" s="12" t="s">
        <v>888</v>
      </c>
      <c r="J774" s="25">
        <v>43404</v>
      </c>
      <c r="K774" s="25">
        <v>44043</v>
      </c>
      <c r="L774" s="26">
        <f t="shared" si="273"/>
        <v>82.304185509371194</v>
      </c>
      <c r="M774" s="11" t="s">
        <v>272</v>
      </c>
      <c r="N774" s="11" t="s">
        <v>261</v>
      </c>
      <c r="O774" s="11" t="s">
        <v>261</v>
      </c>
      <c r="P774" s="27" t="s">
        <v>274</v>
      </c>
      <c r="Q774" s="11" t="s">
        <v>34</v>
      </c>
      <c r="R774" s="2">
        <f t="shared" si="278"/>
        <v>767059.33000000007</v>
      </c>
      <c r="S774" s="2">
        <v>618566.54</v>
      </c>
      <c r="T774" s="2">
        <v>148492.79</v>
      </c>
      <c r="U774" s="2">
        <f t="shared" si="282"/>
        <v>146282</v>
      </c>
      <c r="V774" s="28">
        <v>109158.78</v>
      </c>
      <c r="W774" s="28">
        <v>37123.22</v>
      </c>
      <c r="X774" s="2">
        <f t="shared" si="279"/>
        <v>0</v>
      </c>
      <c r="Y774" s="2">
        <v>0</v>
      </c>
      <c r="Z774" s="2">
        <v>0</v>
      </c>
      <c r="AA774" s="2">
        <f t="shared" si="280"/>
        <v>18639.620000000003</v>
      </c>
      <c r="AB774" s="2">
        <v>14851.53</v>
      </c>
      <c r="AC774" s="2">
        <v>3788.09</v>
      </c>
      <c r="AD774" s="16">
        <f t="shared" si="283"/>
        <v>931980.95000000007</v>
      </c>
      <c r="AE774" s="37"/>
      <c r="AF774" s="2">
        <f t="shared" si="281"/>
        <v>931980.95000000007</v>
      </c>
      <c r="AG774" s="38" t="s">
        <v>857</v>
      </c>
      <c r="AH774" s="29" t="s">
        <v>1432</v>
      </c>
      <c r="AI774" s="30">
        <f>666492.64+22146.42-19754.94</f>
        <v>668884.12000000011</v>
      </c>
      <c r="AJ774" s="30">
        <f>109685.73+4223.42+13650.28</f>
        <v>127559.43</v>
      </c>
    </row>
    <row r="775" spans="1:36" ht="390" customHeight="1" x14ac:dyDescent="0.25">
      <c r="A775" s="6">
        <v>772</v>
      </c>
      <c r="B775" s="31">
        <v>109897</v>
      </c>
      <c r="C775" s="31">
        <v>159</v>
      </c>
      <c r="D775" s="11" t="s">
        <v>143</v>
      </c>
      <c r="E775" s="24" t="s">
        <v>270</v>
      </c>
      <c r="F775" s="67" t="s">
        <v>893</v>
      </c>
      <c r="G775" s="11" t="s">
        <v>894</v>
      </c>
      <c r="H775" s="8" t="s">
        <v>151</v>
      </c>
      <c r="I775" s="12" t="s">
        <v>2977</v>
      </c>
      <c r="J775" s="25">
        <v>43418</v>
      </c>
      <c r="K775" s="25">
        <v>44179</v>
      </c>
      <c r="L775" s="26">
        <f t="shared" si="273"/>
        <v>82.304185631079861</v>
      </c>
      <c r="M775" s="11" t="s">
        <v>272</v>
      </c>
      <c r="N775" s="11" t="s">
        <v>261</v>
      </c>
      <c r="O775" s="11" t="s">
        <v>137</v>
      </c>
      <c r="P775" s="27" t="s">
        <v>274</v>
      </c>
      <c r="Q775" s="11" t="s">
        <v>34</v>
      </c>
      <c r="R775" s="2">
        <f t="shared" si="278"/>
        <v>763718.81</v>
      </c>
      <c r="S775" s="2">
        <v>615872.68000000005</v>
      </c>
      <c r="T775" s="2">
        <v>147846.13</v>
      </c>
      <c r="U775" s="2">
        <f t="shared" si="282"/>
        <v>145644.94</v>
      </c>
      <c r="V775" s="28">
        <v>108683.39</v>
      </c>
      <c r="W775" s="28">
        <v>36961.550000000003</v>
      </c>
      <c r="X775" s="2">
        <f t="shared" si="279"/>
        <v>0</v>
      </c>
      <c r="Y775" s="2">
        <v>0</v>
      </c>
      <c r="Z775" s="2">
        <v>0</v>
      </c>
      <c r="AA775" s="2">
        <f t="shared" si="280"/>
        <v>18558.45</v>
      </c>
      <c r="AB775" s="2">
        <v>14786.89</v>
      </c>
      <c r="AC775" s="2">
        <v>3771.56</v>
      </c>
      <c r="AD775" s="16">
        <f t="shared" si="283"/>
        <v>927922.2</v>
      </c>
      <c r="AE775" s="37"/>
      <c r="AF775" s="2">
        <f t="shared" si="281"/>
        <v>927922.2</v>
      </c>
      <c r="AG775" s="38" t="s">
        <v>857</v>
      </c>
      <c r="AH775" s="29" t="s">
        <v>1663</v>
      </c>
      <c r="AI775" s="30">
        <f>574601.53+25027.07+25599.89+28316.77+19320.08</f>
        <v>672865.34</v>
      </c>
      <c r="AJ775" s="30">
        <f>109579.31+4772.77+4882.03+5400.13+3684.44</f>
        <v>128318.68000000001</v>
      </c>
    </row>
    <row r="776" spans="1:36" ht="141.75" x14ac:dyDescent="0.25">
      <c r="A776" s="6">
        <v>773</v>
      </c>
      <c r="B776" s="31">
        <v>127778</v>
      </c>
      <c r="C776" s="31">
        <v>580</v>
      </c>
      <c r="D776" s="11" t="s">
        <v>143</v>
      </c>
      <c r="E776" s="24" t="s">
        <v>979</v>
      </c>
      <c r="F776" s="67" t="s">
        <v>931</v>
      </c>
      <c r="G776" s="27" t="s">
        <v>1738</v>
      </c>
      <c r="H776" s="8" t="s">
        <v>151</v>
      </c>
      <c r="I776" s="12" t="s">
        <v>2978</v>
      </c>
      <c r="J776" s="25">
        <v>43447</v>
      </c>
      <c r="K776" s="25">
        <v>45273</v>
      </c>
      <c r="L776" s="26">
        <f t="shared" si="273"/>
        <v>83.983863025604222</v>
      </c>
      <c r="M776" s="11" t="s">
        <v>272</v>
      </c>
      <c r="N776" s="11" t="s">
        <v>261</v>
      </c>
      <c r="O776" s="11" t="s">
        <v>261</v>
      </c>
      <c r="P776" s="27" t="s">
        <v>138</v>
      </c>
      <c r="Q776" s="11" t="s">
        <v>34</v>
      </c>
      <c r="R776" s="2">
        <f t="shared" si="278"/>
        <v>10837735.800000001</v>
      </c>
      <c r="S776" s="2">
        <v>8739689.6600000001</v>
      </c>
      <c r="T776" s="2">
        <v>2098046.14</v>
      </c>
      <c r="U776" s="2">
        <f t="shared" si="282"/>
        <v>0</v>
      </c>
      <c r="V776" s="28">
        <v>0</v>
      </c>
      <c r="W776" s="28">
        <v>0</v>
      </c>
      <c r="X776" s="2">
        <f t="shared" si="279"/>
        <v>2066809.68</v>
      </c>
      <c r="Y776" s="2">
        <v>1542298.18</v>
      </c>
      <c r="Z776" s="2">
        <v>524511.5</v>
      </c>
      <c r="AA776" s="2">
        <f t="shared" si="280"/>
        <v>0</v>
      </c>
      <c r="AB776" s="2">
        <v>0</v>
      </c>
      <c r="AC776" s="2">
        <v>0</v>
      </c>
      <c r="AD776" s="16">
        <f t="shared" si="283"/>
        <v>12904545.48</v>
      </c>
      <c r="AE776" s="37">
        <v>0</v>
      </c>
      <c r="AF776" s="2">
        <f t="shared" si="281"/>
        <v>12904545.48</v>
      </c>
      <c r="AG776" s="38" t="s">
        <v>486</v>
      </c>
      <c r="AH776" s="29" t="s">
        <v>1930</v>
      </c>
      <c r="AI776" s="30">
        <f>4431509.92+140328.64+1052131.93</f>
        <v>5623970.4899999993</v>
      </c>
      <c r="AJ776" s="30">
        <v>0</v>
      </c>
    </row>
    <row r="777" spans="1:36" ht="173.25" x14ac:dyDescent="0.25">
      <c r="A777" s="6">
        <v>774</v>
      </c>
      <c r="B777" s="31">
        <v>127575</v>
      </c>
      <c r="C777" s="31">
        <v>604</v>
      </c>
      <c r="D777" s="11" t="s">
        <v>143</v>
      </c>
      <c r="E777" s="24" t="s">
        <v>979</v>
      </c>
      <c r="F777" s="67" t="s">
        <v>941</v>
      </c>
      <c r="G777" s="11" t="s">
        <v>83</v>
      </c>
      <c r="H777" s="8" t="s">
        <v>151</v>
      </c>
      <c r="I777" s="12" t="s">
        <v>2979</v>
      </c>
      <c r="J777" s="25">
        <v>43448</v>
      </c>
      <c r="K777" s="25">
        <v>44787</v>
      </c>
      <c r="L777" s="26">
        <f t="shared" si="273"/>
        <v>83.983862818828996</v>
      </c>
      <c r="M777" s="11" t="s">
        <v>272</v>
      </c>
      <c r="N777" s="11" t="s">
        <v>261</v>
      </c>
      <c r="O777" s="11" t="s">
        <v>261</v>
      </c>
      <c r="P777" s="27" t="s">
        <v>138</v>
      </c>
      <c r="Q777" s="11" t="s">
        <v>34</v>
      </c>
      <c r="R777" s="2">
        <f t="shared" si="278"/>
        <v>71134346.109999999</v>
      </c>
      <c r="S777" s="2">
        <v>57363652.549999997</v>
      </c>
      <c r="T777" s="2">
        <v>13770693.560000001</v>
      </c>
      <c r="U777" s="2">
        <f t="shared" si="282"/>
        <v>0</v>
      </c>
      <c r="V777" s="28">
        <v>0</v>
      </c>
      <c r="W777" s="28">
        <v>0</v>
      </c>
      <c r="X777" s="2">
        <f t="shared" si="279"/>
        <v>13565670.92</v>
      </c>
      <c r="Y777" s="2">
        <v>10122997.52</v>
      </c>
      <c r="Z777" s="2">
        <v>3442673.4</v>
      </c>
      <c r="AA777" s="2">
        <f t="shared" si="280"/>
        <v>0</v>
      </c>
      <c r="AB777" s="2">
        <v>0</v>
      </c>
      <c r="AC777" s="2">
        <v>0</v>
      </c>
      <c r="AD777" s="16">
        <f t="shared" si="283"/>
        <v>84700017.030000001</v>
      </c>
      <c r="AE777" s="37">
        <v>0</v>
      </c>
      <c r="AF777" s="2">
        <f t="shared" si="281"/>
        <v>84700017.030000001</v>
      </c>
      <c r="AG777" s="38" t="s">
        <v>857</v>
      </c>
      <c r="AH777" s="29" t="s">
        <v>1809</v>
      </c>
      <c r="AI777" s="30">
        <f>64822540.56+76490.69+412755.49+1062706.95+631076.16</f>
        <v>67005569.850000001</v>
      </c>
      <c r="AJ777" s="30">
        <v>0</v>
      </c>
    </row>
    <row r="778" spans="1:36" ht="141.75" x14ac:dyDescent="0.25">
      <c r="A778" s="6">
        <v>775</v>
      </c>
      <c r="B778" s="31">
        <v>116834</v>
      </c>
      <c r="C778" s="31">
        <v>397</v>
      </c>
      <c r="D778" s="11" t="s">
        <v>143</v>
      </c>
      <c r="E778" s="24" t="s">
        <v>373</v>
      </c>
      <c r="F778" s="67" t="s">
        <v>951</v>
      </c>
      <c r="G778" s="11" t="s">
        <v>1772</v>
      </c>
      <c r="H778" s="11" t="s">
        <v>1786</v>
      </c>
      <c r="I778" s="33" t="s">
        <v>953</v>
      </c>
      <c r="J778" s="25">
        <v>43462</v>
      </c>
      <c r="K778" s="25">
        <v>44832</v>
      </c>
      <c r="L778" s="26">
        <f t="shared" si="273"/>
        <v>83.923407076315016</v>
      </c>
      <c r="M778" s="11" t="s">
        <v>272</v>
      </c>
      <c r="N778" s="11" t="s">
        <v>261</v>
      </c>
      <c r="O778" s="11" t="s">
        <v>261</v>
      </c>
      <c r="P778" s="27" t="s">
        <v>138</v>
      </c>
      <c r="Q778" s="11" t="s">
        <v>34</v>
      </c>
      <c r="R778" s="2">
        <f t="shared" si="278"/>
        <v>2024489.7200000002</v>
      </c>
      <c r="S778" s="2">
        <v>1632574.6</v>
      </c>
      <c r="T778" s="2">
        <v>391915.12</v>
      </c>
      <c r="U778" s="2">
        <f t="shared" si="282"/>
        <v>13627.730000000001</v>
      </c>
      <c r="V778" s="28">
        <v>10169.310000000001</v>
      </c>
      <c r="W778" s="28">
        <v>3458.4199999999996</v>
      </c>
      <c r="X778" s="2">
        <f t="shared" si="279"/>
        <v>372452.47000000003</v>
      </c>
      <c r="Y778" s="2">
        <v>277932.08</v>
      </c>
      <c r="Z778" s="2">
        <v>94520.39</v>
      </c>
      <c r="AA778" s="2">
        <f t="shared" si="280"/>
        <v>1736.48</v>
      </c>
      <c r="AB778" s="2">
        <v>1383.58</v>
      </c>
      <c r="AC778" s="2">
        <v>352.9</v>
      </c>
      <c r="AD778" s="16">
        <f t="shared" si="283"/>
        <v>2412306.4000000004</v>
      </c>
      <c r="AE778" s="37">
        <v>0</v>
      </c>
      <c r="AF778" s="2">
        <f t="shared" si="281"/>
        <v>2412306.4000000004</v>
      </c>
      <c r="AG778" s="38" t="s">
        <v>857</v>
      </c>
      <c r="AH778" s="29" t="s">
        <v>2146</v>
      </c>
      <c r="AI778" s="30">
        <f>300519.38+28866.82+79839.52+134620.7+189329.14+94392.77+126250.23</f>
        <v>953818.56</v>
      </c>
      <c r="AJ778" s="30">
        <v>13627.73</v>
      </c>
    </row>
    <row r="779" spans="1:36" ht="204.75" x14ac:dyDescent="0.25">
      <c r="A779" s="6">
        <v>776</v>
      </c>
      <c r="B779" s="31">
        <v>116793</v>
      </c>
      <c r="C779" s="31">
        <v>398</v>
      </c>
      <c r="D779" s="11" t="s">
        <v>143</v>
      </c>
      <c r="E779" s="24" t="s">
        <v>373</v>
      </c>
      <c r="F779" s="67" t="s">
        <v>954</v>
      </c>
      <c r="G779" s="11" t="s">
        <v>1772</v>
      </c>
      <c r="H779" s="32" t="s">
        <v>1771</v>
      </c>
      <c r="I779" s="33" t="s">
        <v>2980</v>
      </c>
      <c r="J779" s="25">
        <v>43462</v>
      </c>
      <c r="K779" s="25">
        <v>44801</v>
      </c>
      <c r="L779" s="26">
        <f t="shared" si="273"/>
        <v>83.876278600754787</v>
      </c>
      <c r="M779" s="11" t="s">
        <v>272</v>
      </c>
      <c r="N779" s="11" t="s">
        <v>261</v>
      </c>
      <c r="O779" s="11" t="s">
        <v>261</v>
      </c>
      <c r="P779" s="27" t="s">
        <v>138</v>
      </c>
      <c r="Q779" s="11" t="s">
        <v>34</v>
      </c>
      <c r="R779" s="2">
        <f>S779+T779</f>
        <v>2294555.41</v>
      </c>
      <c r="S779" s="2">
        <v>1850359.01</v>
      </c>
      <c r="T779" s="2">
        <v>444196.40000000008</v>
      </c>
      <c r="U779" s="2">
        <f>V779+W779</f>
        <v>121410.03</v>
      </c>
      <c r="V779" s="28">
        <v>89921.42</v>
      </c>
      <c r="W779" s="28">
        <v>31488.610000000008</v>
      </c>
      <c r="X779" s="2">
        <f>Y779+Z779</f>
        <v>319677.40000000002</v>
      </c>
      <c r="Y779" s="2">
        <v>239404.74</v>
      </c>
      <c r="Z779" s="2">
        <v>80272.66</v>
      </c>
      <c r="AA779" s="2">
        <f>AB779+AC779</f>
        <v>0</v>
      </c>
      <c r="AB779" s="2">
        <v>0</v>
      </c>
      <c r="AC779" s="2">
        <v>0</v>
      </c>
      <c r="AD779" s="16">
        <f t="shared" si="283"/>
        <v>2735642.84</v>
      </c>
      <c r="AE779" s="37"/>
      <c r="AF779" s="2">
        <f>AD779+AE779</f>
        <v>2735642.84</v>
      </c>
      <c r="AG779" s="38" t="s">
        <v>857</v>
      </c>
      <c r="AH779" s="29" t="s">
        <v>2298</v>
      </c>
      <c r="AI779" s="30">
        <f>747588.05+119267.92+123350.9+38783.99+46531.38+20689.06+20035.23+31690.07+70570.67+11219.61+133492.64</f>
        <v>1363219.52</v>
      </c>
      <c r="AJ779" s="30">
        <f>58485.17+21100.17+23112.49+11901.81+748.32</f>
        <v>115347.96</v>
      </c>
    </row>
    <row r="780" spans="1:36" ht="172.5" customHeight="1" x14ac:dyDescent="0.25">
      <c r="A780" s="6">
        <v>777</v>
      </c>
      <c r="B780" s="31">
        <v>127534</v>
      </c>
      <c r="C780" s="31">
        <v>619</v>
      </c>
      <c r="D780" s="11" t="s">
        <v>143</v>
      </c>
      <c r="E780" s="24" t="s">
        <v>979</v>
      </c>
      <c r="F780" s="67" t="s">
        <v>964</v>
      </c>
      <c r="G780" s="27" t="s">
        <v>1768</v>
      </c>
      <c r="H780" s="8" t="s">
        <v>151</v>
      </c>
      <c r="I780" s="12" t="s">
        <v>2981</v>
      </c>
      <c r="J780" s="25">
        <v>43490</v>
      </c>
      <c r="K780" s="25">
        <v>44525</v>
      </c>
      <c r="L780" s="26">
        <f t="shared" si="273"/>
        <v>83.983862982309589</v>
      </c>
      <c r="M780" s="11" t="s">
        <v>272</v>
      </c>
      <c r="N780" s="11" t="s">
        <v>261</v>
      </c>
      <c r="O780" s="11" t="s">
        <v>261</v>
      </c>
      <c r="P780" s="27" t="s">
        <v>138</v>
      </c>
      <c r="Q780" s="11" t="s">
        <v>34</v>
      </c>
      <c r="R780" s="2">
        <f t="shared" si="278"/>
        <v>8137225.4000000022</v>
      </c>
      <c r="S780" s="2">
        <v>6561963.3800000027</v>
      </c>
      <c r="T780" s="2">
        <v>1575262.0199999993</v>
      </c>
      <c r="U780" s="2">
        <f t="shared" si="282"/>
        <v>0</v>
      </c>
      <c r="V780" s="28">
        <v>0</v>
      </c>
      <c r="W780" s="28">
        <v>0</v>
      </c>
      <c r="X780" s="2">
        <f t="shared" si="279"/>
        <v>1551809.03</v>
      </c>
      <c r="Y780" s="2">
        <v>1157993.46</v>
      </c>
      <c r="Z780" s="2">
        <v>393815.57</v>
      </c>
      <c r="AA780" s="2">
        <f t="shared" si="280"/>
        <v>0</v>
      </c>
      <c r="AB780" s="2">
        <v>0</v>
      </c>
      <c r="AC780" s="2">
        <v>0</v>
      </c>
      <c r="AD780" s="16">
        <f t="shared" si="283"/>
        <v>9689034.4300000016</v>
      </c>
      <c r="AE780" s="37">
        <v>0</v>
      </c>
      <c r="AF780" s="2">
        <f t="shared" si="281"/>
        <v>9689034.4300000016</v>
      </c>
      <c r="AG780" s="38" t="s">
        <v>857</v>
      </c>
      <c r="AH780" s="29" t="s">
        <v>1769</v>
      </c>
      <c r="AI780" s="30">
        <f>1463301.67+53394.41+40843.87+3495745.94+550641.88+46927.65+715246.04+1403826.39</f>
        <v>7769927.8499999996</v>
      </c>
      <c r="AJ780" s="30">
        <v>0</v>
      </c>
    </row>
    <row r="781" spans="1:36" ht="189" x14ac:dyDescent="0.25">
      <c r="A781" s="6">
        <v>778</v>
      </c>
      <c r="B781" s="31">
        <v>111384</v>
      </c>
      <c r="C781" s="31">
        <v>166</v>
      </c>
      <c r="D781" s="11" t="s">
        <v>143</v>
      </c>
      <c r="E781" s="24" t="s">
        <v>270</v>
      </c>
      <c r="F781" s="67" t="s">
        <v>969</v>
      </c>
      <c r="G781" s="11" t="s">
        <v>970</v>
      </c>
      <c r="H781" s="8" t="s">
        <v>151</v>
      </c>
      <c r="I781" s="12" t="s">
        <v>971</v>
      </c>
      <c r="J781" s="25">
        <v>43497</v>
      </c>
      <c r="K781" s="25">
        <v>43983</v>
      </c>
      <c r="L781" s="26">
        <f t="shared" si="273"/>
        <v>82.304190607330156</v>
      </c>
      <c r="M781" s="11" t="s">
        <v>272</v>
      </c>
      <c r="N781" s="11" t="s">
        <v>186</v>
      </c>
      <c r="O781" s="11" t="s">
        <v>186</v>
      </c>
      <c r="P781" s="27" t="s">
        <v>274</v>
      </c>
      <c r="Q781" s="11" t="s">
        <v>34</v>
      </c>
      <c r="R781" s="2">
        <f t="shared" si="278"/>
        <v>765704.55999999994</v>
      </c>
      <c r="S781" s="2">
        <v>617473.98</v>
      </c>
      <c r="T781" s="2">
        <v>148230.57999999999</v>
      </c>
      <c r="U781" s="2">
        <f t="shared" si="282"/>
        <v>146023.57999999999</v>
      </c>
      <c r="V781" s="28">
        <v>108965.98</v>
      </c>
      <c r="W781" s="28">
        <v>37057.599999999999</v>
      </c>
      <c r="X781" s="2">
        <v>0</v>
      </c>
      <c r="Y781" s="2">
        <v>0</v>
      </c>
      <c r="Z781" s="2">
        <v>0</v>
      </c>
      <c r="AA781" s="2">
        <f t="shared" si="280"/>
        <v>18606.7</v>
      </c>
      <c r="AB781" s="2">
        <v>14825.33</v>
      </c>
      <c r="AC781" s="2">
        <v>3781.37</v>
      </c>
      <c r="AD781" s="16">
        <f t="shared" si="283"/>
        <v>930334.83999999985</v>
      </c>
      <c r="AE781" s="37">
        <v>0</v>
      </c>
      <c r="AF781" s="2">
        <f t="shared" si="281"/>
        <v>930334.83999999985</v>
      </c>
      <c r="AG781" s="38" t="s">
        <v>857</v>
      </c>
      <c r="AH781" s="29"/>
      <c r="AI781" s="30">
        <v>407560.11</v>
      </c>
      <c r="AJ781" s="30">
        <v>76478.45</v>
      </c>
    </row>
    <row r="782" spans="1:36" ht="159.75" customHeight="1" x14ac:dyDescent="0.25">
      <c r="A782" s="6">
        <v>779</v>
      </c>
      <c r="B782" s="31">
        <v>118765</v>
      </c>
      <c r="C782" s="31">
        <v>454</v>
      </c>
      <c r="D782" s="97" t="s">
        <v>1640</v>
      </c>
      <c r="E782" s="24" t="s">
        <v>425</v>
      </c>
      <c r="F782" s="67" t="s">
        <v>809</v>
      </c>
      <c r="G782" s="11" t="s">
        <v>810</v>
      </c>
      <c r="H782" s="11" t="s">
        <v>977</v>
      </c>
      <c r="I782" s="46" t="s">
        <v>2982</v>
      </c>
      <c r="J782" s="25">
        <v>43348</v>
      </c>
      <c r="K782" s="25">
        <v>45112</v>
      </c>
      <c r="L782" s="26">
        <f t="shared" si="273"/>
        <v>83.983863009939782</v>
      </c>
      <c r="M782" s="27" t="s">
        <v>136</v>
      </c>
      <c r="N782" s="11" t="s">
        <v>261</v>
      </c>
      <c r="O782" s="11" t="s">
        <v>137</v>
      </c>
      <c r="P782" s="15" t="s">
        <v>138</v>
      </c>
      <c r="Q782" s="27" t="s">
        <v>34</v>
      </c>
      <c r="R782" s="2">
        <f t="shared" si="278"/>
        <v>21008573.409999996</v>
      </c>
      <c r="S782" s="2">
        <v>16941584.049999997</v>
      </c>
      <c r="T782" s="2">
        <v>4066989.3599999989</v>
      </c>
      <c r="U782" s="2">
        <f t="shared" si="282"/>
        <v>0</v>
      </c>
      <c r="V782" s="28">
        <v>0</v>
      </c>
      <c r="W782" s="28">
        <v>0</v>
      </c>
      <c r="X782" s="2">
        <f t="shared" ref="X782:X800" si="284">Y782+Z782</f>
        <v>4006438.5900000008</v>
      </c>
      <c r="Y782" s="2">
        <v>2989691.2972893151</v>
      </c>
      <c r="Z782" s="2">
        <v>1016747.2927106855</v>
      </c>
      <c r="AA782" s="2">
        <f t="shared" si="280"/>
        <v>0</v>
      </c>
      <c r="AB782" s="2">
        <v>0</v>
      </c>
      <c r="AC782" s="2">
        <v>0</v>
      </c>
      <c r="AD782" s="16">
        <f t="shared" si="283"/>
        <v>25015011.999999996</v>
      </c>
      <c r="AE782" s="2">
        <v>0</v>
      </c>
      <c r="AF782" s="2">
        <f t="shared" si="281"/>
        <v>25015011.999999996</v>
      </c>
      <c r="AG782" s="38" t="s">
        <v>486</v>
      </c>
      <c r="AH782" s="29" t="s">
        <v>1968</v>
      </c>
      <c r="AI782" s="30">
        <f>3855719.79+323646.48+206724.77+676013.29+150344.07+353057.82+338497.46+399142.86+1052168.01+21579.05+1505737.13+23990.2+100884</f>
        <v>9007504.9299999997</v>
      </c>
      <c r="AJ782" s="30">
        <v>0</v>
      </c>
    </row>
    <row r="783" spans="1:36" ht="161.25" customHeight="1" x14ac:dyDescent="0.25">
      <c r="A783" s="6">
        <v>780</v>
      </c>
      <c r="B783" s="31">
        <v>127403</v>
      </c>
      <c r="C783" s="31">
        <v>579</v>
      </c>
      <c r="D783" s="11" t="s">
        <v>143</v>
      </c>
      <c r="E783" s="24" t="s">
        <v>979</v>
      </c>
      <c r="F783" s="67" t="s">
        <v>980</v>
      </c>
      <c r="G783" s="27" t="s">
        <v>1352</v>
      </c>
      <c r="H783" s="8" t="s">
        <v>151</v>
      </c>
      <c r="I783" s="12" t="s">
        <v>2983</v>
      </c>
      <c r="J783" s="25">
        <v>43514</v>
      </c>
      <c r="K783" s="25">
        <v>45125</v>
      </c>
      <c r="L783" s="26">
        <f t="shared" si="273"/>
        <v>83.983863067164137</v>
      </c>
      <c r="M783" s="27" t="s">
        <v>136</v>
      </c>
      <c r="N783" s="11" t="s">
        <v>261</v>
      </c>
      <c r="O783" s="11" t="s">
        <v>261</v>
      </c>
      <c r="P783" s="15" t="s">
        <v>138</v>
      </c>
      <c r="Q783" s="27" t="s">
        <v>34</v>
      </c>
      <c r="R783" s="2">
        <f t="shared" ref="R783:R800" si="285">S783+T783</f>
        <v>5070433.51</v>
      </c>
      <c r="S783" s="2">
        <v>4088862.86</v>
      </c>
      <c r="T783" s="2">
        <v>981570.65</v>
      </c>
      <c r="U783" s="2">
        <f t="shared" si="282"/>
        <v>0</v>
      </c>
      <c r="V783" s="28">
        <v>0</v>
      </c>
      <c r="W783" s="28">
        <v>0</v>
      </c>
      <c r="X783" s="2">
        <f t="shared" si="284"/>
        <v>966956.68</v>
      </c>
      <c r="Y783" s="2">
        <v>721564.03</v>
      </c>
      <c r="Z783" s="2">
        <v>245392.65</v>
      </c>
      <c r="AA783" s="2">
        <f t="shared" si="280"/>
        <v>0</v>
      </c>
      <c r="AB783" s="2">
        <v>0</v>
      </c>
      <c r="AC783" s="2">
        <v>0</v>
      </c>
      <c r="AD783" s="16">
        <f t="shared" si="283"/>
        <v>6037390.1899999995</v>
      </c>
      <c r="AE783" s="37">
        <v>0</v>
      </c>
      <c r="AF783" s="2">
        <f t="shared" si="281"/>
        <v>6037390.1899999995</v>
      </c>
      <c r="AG783" s="38" t="s">
        <v>486</v>
      </c>
      <c r="AH783" s="29" t="s">
        <v>1969</v>
      </c>
      <c r="AI783" s="30">
        <f>24576.2+66456.97+20464.35+37833.89+35353.01+43044.25+57443.28+50103.09+84893.41+48852.57</f>
        <v>469021.01999999996</v>
      </c>
      <c r="AJ783" s="30">
        <v>0</v>
      </c>
    </row>
    <row r="784" spans="1:36" ht="141.75" x14ac:dyDescent="0.25">
      <c r="A784" s="6">
        <v>781</v>
      </c>
      <c r="B784" s="31">
        <v>127820</v>
      </c>
      <c r="C784" s="31">
        <v>605</v>
      </c>
      <c r="D784" s="11" t="s">
        <v>143</v>
      </c>
      <c r="E784" s="24" t="s">
        <v>979</v>
      </c>
      <c r="F784" s="67" t="s">
        <v>998</v>
      </c>
      <c r="G784" s="11" t="s">
        <v>2144</v>
      </c>
      <c r="H784" s="8" t="s">
        <v>151</v>
      </c>
      <c r="I784" s="12" t="s">
        <v>2984</v>
      </c>
      <c r="J784" s="25">
        <v>43528</v>
      </c>
      <c r="K784" s="25">
        <v>44899</v>
      </c>
      <c r="L784" s="26">
        <f t="shared" si="273"/>
        <v>83.983863119750325</v>
      </c>
      <c r="M784" s="27" t="s">
        <v>136</v>
      </c>
      <c r="N784" s="11" t="s">
        <v>261</v>
      </c>
      <c r="O784" s="11" t="s">
        <v>261</v>
      </c>
      <c r="P784" s="15" t="s">
        <v>138</v>
      </c>
      <c r="Q784" s="27" t="s">
        <v>34</v>
      </c>
      <c r="R784" s="2">
        <f t="shared" si="285"/>
        <v>8804544.8800000008</v>
      </c>
      <c r="S784" s="2">
        <v>7100098.3400000008</v>
      </c>
      <c r="T784" s="2">
        <v>1704446.54</v>
      </c>
      <c r="U784" s="2">
        <f t="shared" si="282"/>
        <v>0</v>
      </c>
      <c r="V784" s="28">
        <v>0</v>
      </c>
      <c r="W784" s="28">
        <v>0</v>
      </c>
      <c r="X784" s="2">
        <f t="shared" si="284"/>
        <v>1679070.13</v>
      </c>
      <c r="Y784" s="2">
        <v>1252958.5123926841</v>
      </c>
      <c r="Z784" s="2">
        <v>426111.61760731583</v>
      </c>
      <c r="AA784" s="2">
        <f t="shared" si="280"/>
        <v>0</v>
      </c>
      <c r="AB784" s="2">
        <v>0</v>
      </c>
      <c r="AC784" s="2">
        <v>0</v>
      </c>
      <c r="AD784" s="16">
        <f t="shared" si="283"/>
        <v>10483615.010000002</v>
      </c>
      <c r="AE784" s="37">
        <v>0</v>
      </c>
      <c r="AF784" s="2">
        <f t="shared" si="281"/>
        <v>10483615.010000002</v>
      </c>
      <c r="AG784" s="38" t="s">
        <v>1412</v>
      </c>
      <c r="AH784" s="29" t="s">
        <v>2145</v>
      </c>
      <c r="AI784" s="30">
        <f>142773.41+459978.96+262581.43+430600.38+386148.56+275006+710932.99+402603.59+379948.85+570548.17+383601.33+340308.49+336261.3</f>
        <v>5081293.46</v>
      </c>
      <c r="AJ784" s="30">
        <v>0</v>
      </c>
    </row>
    <row r="785" spans="1:36" ht="283.5" customHeight="1" x14ac:dyDescent="0.25">
      <c r="A785" s="6">
        <v>782</v>
      </c>
      <c r="B785" s="31">
        <v>129157</v>
      </c>
      <c r="C785" s="31">
        <v>653</v>
      </c>
      <c r="D785" s="11" t="s">
        <v>143</v>
      </c>
      <c r="E785" s="32" t="s">
        <v>1056</v>
      </c>
      <c r="F785" s="67" t="s">
        <v>1057</v>
      </c>
      <c r="G785" s="11" t="s">
        <v>1353</v>
      </c>
      <c r="H785" s="11" t="s">
        <v>1058</v>
      </c>
      <c r="I785" s="12" t="s">
        <v>2985</v>
      </c>
      <c r="J785" s="25">
        <v>43595</v>
      </c>
      <c r="K785" s="25">
        <v>44145</v>
      </c>
      <c r="L785" s="26">
        <f t="shared" si="273"/>
        <v>83.983862046457801</v>
      </c>
      <c r="M785" s="27" t="s">
        <v>136</v>
      </c>
      <c r="N785" s="11" t="s">
        <v>261</v>
      </c>
      <c r="O785" s="11" t="s">
        <v>261</v>
      </c>
      <c r="P785" s="15" t="s">
        <v>138</v>
      </c>
      <c r="Q785" s="11" t="s">
        <v>34</v>
      </c>
      <c r="R785" s="2">
        <v>5246671.92</v>
      </c>
      <c r="S785" s="2">
        <v>4230983.82</v>
      </c>
      <c r="T785" s="2">
        <v>1015688.1</v>
      </c>
      <c r="U785" s="2">
        <v>397060.76</v>
      </c>
      <c r="V785" s="28">
        <v>293431.24</v>
      </c>
      <c r="W785" s="28">
        <v>103629.52</v>
      </c>
      <c r="X785" s="2">
        <v>603505.53</v>
      </c>
      <c r="Y785" s="2">
        <v>453212.97</v>
      </c>
      <c r="Z785" s="2">
        <v>150292.56</v>
      </c>
      <c r="AA785" s="2">
        <v>0</v>
      </c>
      <c r="AB785" s="2">
        <v>0</v>
      </c>
      <c r="AC785" s="2">
        <v>0</v>
      </c>
      <c r="AD785" s="16">
        <f t="shared" si="283"/>
        <v>6247238.21</v>
      </c>
      <c r="AE785" s="37">
        <v>0</v>
      </c>
      <c r="AF785" s="2">
        <v>6247238.21</v>
      </c>
      <c r="AG785" s="38" t="s">
        <v>857</v>
      </c>
      <c r="AH785" s="29" t="s">
        <v>1607</v>
      </c>
      <c r="AI785" s="30">
        <f>27634.05+1119190.49+181709.16+701126.29+552728.56+77727.08+197693.87</f>
        <v>2857809.5</v>
      </c>
      <c r="AJ785" s="30">
        <f>145846.01+27046.1+84892.7+61886.01+3864.1+5366.64</f>
        <v>328901.56</v>
      </c>
    </row>
    <row r="786" spans="1:36" ht="226.5" customHeight="1" x14ac:dyDescent="0.25">
      <c r="A786" s="6">
        <v>783</v>
      </c>
      <c r="B786" s="31">
        <v>127557</v>
      </c>
      <c r="C786" s="31">
        <v>592</v>
      </c>
      <c r="D786" s="11" t="s">
        <v>143</v>
      </c>
      <c r="E786" s="24" t="s">
        <v>979</v>
      </c>
      <c r="F786" s="67" t="s">
        <v>1761</v>
      </c>
      <c r="G786" s="11" t="s">
        <v>1752</v>
      </c>
      <c r="H786" s="11" t="s">
        <v>1063</v>
      </c>
      <c r="I786" s="12" t="s">
        <v>2986</v>
      </c>
      <c r="J786" s="25">
        <v>43601</v>
      </c>
      <c r="K786" s="25">
        <v>45001</v>
      </c>
      <c r="L786" s="26">
        <f t="shared" si="273"/>
        <v>83.983862903167676</v>
      </c>
      <c r="M786" s="27" t="s">
        <v>136</v>
      </c>
      <c r="N786" s="11" t="s">
        <v>261</v>
      </c>
      <c r="O786" s="11" t="s">
        <v>261</v>
      </c>
      <c r="P786" s="15" t="s">
        <v>138</v>
      </c>
      <c r="Q786" s="11" t="s">
        <v>34</v>
      </c>
      <c r="R786" s="2">
        <f t="shared" si="285"/>
        <v>21869408.230000008</v>
      </c>
      <c r="S786" s="2">
        <v>17635772.340000007</v>
      </c>
      <c r="T786" s="2">
        <v>4233635.8900000006</v>
      </c>
      <c r="U786" s="2">
        <f t="shared" si="282"/>
        <v>2835302.4500000007</v>
      </c>
      <c r="V786" s="28">
        <v>2095312.3900000004</v>
      </c>
      <c r="W786" s="28">
        <v>739990.06000000017</v>
      </c>
      <c r="X786" s="2">
        <f t="shared" si="284"/>
        <v>1335301.6200000001</v>
      </c>
      <c r="Y786" s="2">
        <v>1016882.74</v>
      </c>
      <c r="Z786" s="2">
        <v>318418.88</v>
      </c>
      <c r="AA786" s="2">
        <f t="shared" si="280"/>
        <v>0</v>
      </c>
      <c r="AB786" s="2">
        <v>0</v>
      </c>
      <c r="AC786" s="2">
        <v>0</v>
      </c>
      <c r="AD786" s="16">
        <f t="shared" si="283"/>
        <v>26040012.300000008</v>
      </c>
      <c r="AE786" s="37">
        <v>0</v>
      </c>
      <c r="AF786" s="2">
        <f t="shared" si="281"/>
        <v>26040012.300000008</v>
      </c>
      <c r="AG786" s="38" t="s">
        <v>486</v>
      </c>
      <c r="AH786" s="29" t="s">
        <v>1784</v>
      </c>
      <c r="AI786" s="30">
        <f>2000000-199893.91+842707.08+2000000-206973.2+1447144.25+1042685.44-170393.68+1315690.57+1512447.46+1178535.32-163734.87+1442951.1+2129883.35+850732.12+1312699.79+1517111.37</f>
        <v>17851592.190000001</v>
      </c>
      <c r="AJ786" s="30">
        <f>213844.09+224889.04+206973.2+174014.68+188172.46+250323.39+191023.95+206373.48+203572.86+187744.72+180385.78</f>
        <v>2227317.65</v>
      </c>
    </row>
    <row r="787" spans="1:36" ht="239.25" customHeight="1" x14ac:dyDescent="0.25">
      <c r="A787" s="6">
        <v>784</v>
      </c>
      <c r="B787" s="162">
        <v>127562</v>
      </c>
      <c r="C787" s="162">
        <v>606</v>
      </c>
      <c r="D787" s="163" t="s">
        <v>143</v>
      </c>
      <c r="E787" s="164" t="s">
        <v>979</v>
      </c>
      <c r="F787" s="165" t="s">
        <v>1074</v>
      </c>
      <c r="G787" s="27" t="s">
        <v>1717</v>
      </c>
      <c r="H787" s="163" t="s">
        <v>1075</v>
      </c>
      <c r="I787" s="166" t="s">
        <v>2987</v>
      </c>
      <c r="J787" s="167">
        <v>43608</v>
      </c>
      <c r="K787" s="167">
        <v>44980</v>
      </c>
      <c r="L787" s="26">
        <f t="shared" si="273"/>
        <v>83.983863366468114</v>
      </c>
      <c r="M787" s="168" t="s">
        <v>136</v>
      </c>
      <c r="N787" s="163" t="s">
        <v>261</v>
      </c>
      <c r="O787" s="163" t="s">
        <v>137</v>
      </c>
      <c r="P787" s="169" t="s">
        <v>138</v>
      </c>
      <c r="Q787" s="163" t="s">
        <v>34</v>
      </c>
      <c r="R787" s="103">
        <f t="shared" si="285"/>
        <v>8877559.8300000001</v>
      </c>
      <c r="S787" s="103">
        <v>7158978.5700000003</v>
      </c>
      <c r="T787" s="103">
        <v>1718581.26</v>
      </c>
      <c r="U787" s="103">
        <f t="shared" si="282"/>
        <v>156211.62</v>
      </c>
      <c r="V787" s="53">
        <v>115441.7</v>
      </c>
      <c r="W787" s="53">
        <v>40769.919999999998</v>
      </c>
      <c r="X787" s="103">
        <f t="shared" si="284"/>
        <v>1536782.7899999998</v>
      </c>
      <c r="Y787" s="103">
        <v>1147907.3799999999</v>
      </c>
      <c r="Z787" s="103">
        <v>388875.41</v>
      </c>
      <c r="AA787" s="103">
        <f t="shared" si="280"/>
        <v>0</v>
      </c>
      <c r="AB787" s="103">
        <v>0</v>
      </c>
      <c r="AC787" s="103">
        <v>0</v>
      </c>
      <c r="AD787" s="16">
        <f t="shared" si="283"/>
        <v>10570554.239999998</v>
      </c>
      <c r="AE787" s="170">
        <v>0</v>
      </c>
      <c r="AF787" s="103">
        <f t="shared" si="281"/>
        <v>10570554.239999998</v>
      </c>
      <c r="AG787" s="38" t="s">
        <v>486</v>
      </c>
      <c r="AH787" s="171" t="s">
        <v>3303</v>
      </c>
      <c r="AI787" s="114">
        <f>100000+43931.12+109486.41+2111676.42+175527.94+180671.57+100000+68073.24+1333861.53+2004317.29+18100.2+20914.5+18483.6+100000+15623.52+34340.16+24250.34-11567.51+80879.4+600665.05+26246.78+82320+947830.52</f>
        <v>8185632.0800000001</v>
      </c>
      <c r="AJ787" s="114">
        <f>12721.6+24511.71+28611.12+19252.57+19773.82+11567.51+11773.56</f>
        <v>128211.89</v>
      </c>
    </row>
    <row r="788" spans="1:36" ht="315.75" customHeight="1" x14ac:dyDescent="0.25">
      <c r="A788" s="6">
        <v>785</v>
      </c>
      <c r="B788" s="11">
        <v>116178</v>
      </c>
      <c r="C788" s="11">
        <v>403</v>
      </c>
      <c r="D788" s="11" t="s">
        <v>143</v>
      </c>
      <c r="E788" s="24" t="s">
        <v>373</v>
      </c>
      <c r="F788" s="27" t="s">
        <v>1124</v>
      </c>
      <c r="G788" s="11" t="s">
        <v>55</v>
      </c>
      <c r="H788" s="8" t="s">
        <v>151</v>
      </c>
      <c r="I788" s="12" t="s">
        <v>2988</v>
      </c>
      <c r="J788" s="25">
        <v>43640</v>
      </c>
      <c r="K788" s="25">
        <v>45162</v>
      </c>
      <c r="L788" s="26">
        <f t="shared" si="273"/>
        <v>83.983862989767033</v>
      </c>
      <c r="M788" s="27" t="s">
        <v>136</v>
      </c>
      <c r="N788" s="11" t="s">
        <v>261</v>
      </c>
      <c r="O788" s="11" t="s">
        <v>137</v>
      </c>
      <c r="P788" s="15" t="s">
        <v>138</v>
      </c>
      <c r="Q788" s="11" t="s">
        <v>34</v>
      </c>
      <c r="R788" s="2">
        <f t="shared" si="285"/>
        <v>2394035.5999999996</v>
      </c>
      <c r="S788" s="2">
        <v>1930581.13</v>
      </c>
      <c r="T788" s="2">
        <v>463454.47</v>
      </c>
      <c r="U788" s="2">
        <f t="shared" si="282"/>
        <v>0</v>
      </c>
      <c r="V788" s="28">
        <v>0</v>
      </c>
      <c r="W788" s="28">
        <v>0</v>
      </c>
      <c r="X788" s="2">
        <f t="shared" si="284"/>
        <v>456554.4</v>
      </c>
      <c r="Y788" s="2">
        <v>340690.78</v>
      </c>
      <c r="Z788" s="2">
        <v>115863.62</v>
      </c>
      <c r="AA788" s="2"/>
      <c r="AB788" s="2">
        <v>0</v>
      </c>
      <c r="AC788" s="2">
        <v>0</v>
      </c>
      <c r="AD788" s="16">
        <f t="shared" si="283"/>
        <v>2850589.9999999995</v>
      </c>
      <c r="AE788" s="37">
        <v>0</v>
      </c>
      <c r="AF788" s="2">
        <f t="shared" si="281"/>
        <v>2850589.9999999995</v>
      </c>
      <c r="AG788" s="38" t="s">
        <v>486</v>
      </c>
      <c r="AH788" s="29" t="s">
        <v>1791</v>
      </c>
      <c r="AI788" s="30">
        <v>0</v>
      </c>
      <c r="AJ788" s="30">
        <v>0</v>
      </c>
    </row>
    <row r="789" spans="1:36" ht="315.75" customHeight="1" x14ac:dyDescent="0.25">
      <c r="A789" s="6">
        <v>786</v>
      </c>
      <c r="B789" s="11">
        <v>126949</v>
      </c>
      <c r="C789" s="11">
        <v>625</v>
      </c>
      <c r="D789" s="11" t="s">
        <v>144</v>
      </c>
      <c r="E789" s="24" t="s">
        <v>1151</v>
      </c>
      <c r="F789" s="27" t="s">
        <v>1152</v>
      </c>
      <c r="G789" s="11" t="s">
        <v>104</v>
      </c>
      <c r="H789" s="11" t="s">
        <v>1362</v>
      </c>
      <c r="I789" s="32" t="s">
        <v>1154</v>
      </c>
      <c r="J789" s="25">
        <v>43656</v>
      </c>
      <c r="K789" s="25">
        <v>45270</v>
      </c>
      <c r="L789" s="26">
        <f t="shared" si="273"/>
        <v>83.983862833823082</v>
      </c>
      <c r="M789" s="27" t="s">
        <v>136</v>
      </c>
      <c r="N789" s="11" t="s">
        <v>261</v>
      </c>
      <c r="O789" s="11" t="s">
        <v>137</v>
      </c>
      <c r="P789" s="15" t="s">
        <v>138</v>
      </c>
      <c r="Q789" s="11" t="s">
        <v>34</v>
      </c>
      <c r="R789" s="2">
        <f t="shared" si="285"/>
        <v>82900494.250000015</v>
      </c>
      <c r="S789" s="2">
        <v>66852025.910000011</v>
      </c>
      <c r="T789" s="2">
        <v>16048468.340000004</v>
      </c>
      <c r="U789" s="2">
        <f t="shared" si="282"/>
        <v>325867.2</v>
      </c>
      <c r="V789" s="28">
        <v>240818.61000000002</v>
      </c>
      <c r="W789" s="28">
        <v>85048.59</v>
      </c>
      <c r="X789" s="2">
        <f t="shared" si="284"/>
        <v>15483666.23</v>
      </c>
      <c r="Y789" s="2">
        <v>11556597.710000001</v>
      </c>
      <c r="Z789" s="2">
        <v>3927068.52</v>
      </c>
      <c r="AA789" s="2">
        <f t="shared" ref="AA789:AA799" si="286">AB789+AC789</f>
        <v>0</v>
      </c>
      <c r="AB789" s="2">
        <v>0</v>
      </c>
      <c r="AC789" s="2">
        <v>0</v>
      </c>
      <c r="AD789" s="16">
        <f t="shared" si="283"/>
        <v>98710027.680000022</v>
      </c>
      <c r="AE789" s="37">
        <v>93474.39</v>
      </c>
      <c r="AF789" s="2">
        <f t="shared" si="281"/>
        <v>98803502.070000023</v>
      </c>
      <c r="AG789" s="38" t="s">
        <v>486</v>
      </c>
      <c r="AH789" s="29" t="s">
        <v>3166</v>
      </c>
      <c r="AI789" s="30">
        <f>6062646.43+1213960.56+10776298+1604453.75+3219083.32+9956448.42+3077.08+4747935.94</f>
        <v>37583903.5</v>
      </c>
      <c r="AJ789" s="30">
        <f>1813.69+1983.14+8177.86+893.39+2319.81</f>
        <v>15187.889999999998</v>
      </c>
    </row>
    <row r="790" spans="1:36" ht="141.75" x14ac:dyDescent="0.25">
      <c r="A790" s="6">
        <v>787</v>
      </c>
      <c r="B790" s="11">
        <v>127610</v>
      </c>
      <c r="C790" s="11">
        <v>583</v>
      </c>
      <c r="D790" s="11" t="s">
        <v>143</v>
      </c>
      <c r="E790" s="24" t="s">
        <v>979</v>
      </c>
      <c r="F790" s="27" t="s">
        <v>1160</v>
      </c>
      <c r="G790" s="11" t="s">
        <v>1161</v>
      </c>
      <c r="H790" s="27" t="s">
        <v>1351</v>
      </c>
      <c r="I790" s="32" t="s">
        <v>2989</v>
      </c>
      <c r="J790" s="25">
        <v>43658</v>
      </c>
      <c r="K790" s="25">
        <v>45272</v>
      </c>
      <c r="L790" s="26">
        <f t="shared" si="273"/>
        <v>83.983862997027984</v>
      </c>
      <c r="M790" s="27" t="s">
        <v>136</v>
      </c>
      <c r="N790" s="11" t="s">
        <v>261</v>
      </c>
      <c r="O790" s="11" t="s">
        <v>137</v>
      </c>
      <c r="P790" s="15" t="s">
        <v>138</v>
      </c>
      <c r="Q790" s="11" t="s">
        <v>34</v>
      </c>
      <c r="R790" s="2">
        <f t="shared" si="285"/>
        <v>7876805.3499999996</v>
      </c>
      <c r="S790" s="2">
        <v>6351957.2399999993</v>
      </c>
      <c r="T790" s="2">
        <v>1524848.1099999999</v>
      </c>
      <c r="U790" s="2">
        <f t="shared" si="282"/>
        <v>1304201.51</v>
      </c>
      <c r="V790" s="28">
        <v>963815.87999999989</v>
      </c>
      <c r="W790" s="28">
        <v>340385.63000000006</v>
      </c>
      <c r="X790" s="2">
        <f t="shared" si="284"/>
        <v>197944.13</v>
      </c>
      <c r="Y790" s="2">
        <v>157117.74</v>
      </c>
      <c r="Z790" s="2">
        <v>40826.39</v>
      </c>
      <c r="AA790" s="2">
        <f t="shared" si="286"/>
        <v>0</v>
      </c>
      <c r="AB790" s="2">
        <v>0</v>
      </c>
      <c r="AC790" s="2">
        <v>0</v>
      </c>
      <c r="AD790" s="16">
        <f t="shared" si="283"/>
        <v>9378950.9900000002</v>
      </c>
      <c r="AE790" s="37">
        <v>0</v>
      </c>
      <c r="AF790" s="2">
        <f t="shared" si="281"/>
        <v>9378950.9900000002</v>
      </c>
      <c r="AG790" s="38" t="s">
        <v>486</v>
      </c>
      <c r="AH790" s="29" t="s">
        <v>3252</v>
      </c>
      <c r="AI790" s="30">
        <f>393577.05+357286.8+354740.03+553936.93+315710.18+383572.03+370302.01+1222029.37+1228222.47</f>
        <v>5179376.87</v>
      </c>
      <c r="AJ790" s="30">
        <f>65684.38+59627.88+57903.71+90282.23+52034.76+61939.89+61800.01+202836.81+204979.08</f>
        <v>857088.75</v>
      </c>
    </row>
    <row r="791" spans="1:36" ht="204.75" x14ac:dyDescent="0.25">
      <c r="A791" s="6">
        <v>788</v>
      </c>
      <c r="B791" s="11">
        <v>127961</v>
      </c>
      <c r="C791" s="11">
        <v>609</v>
      </c>
      <c r="D791" s="11" t="s">
        <v>143</v>
      </c>
      <c r="E791" s="24" t="s">
        <v>979</v>
      </c>
      <c r="F791" s="27" t="s">
        <v>1162</v>
      </c>
      <c r="G791" s="11" t="s">
        <v>117</v>
      </c>
      <c r="H791" s="11" t="s">
        <v>1163</v>
      </c>
      <c r="I791" s="32" t="s">
        <v>1164</v>
      </c>
      <c r="J791" s="25">
        <v>43662</v>
      </c>
      <c r="K791" s="25">
        <v>44911</v>
      </c>
      <c r="L791" s="26">
        <f t="shared" si="273"/>
        <v>83.659541944831759</v>
      </c>
      <c r="M791" s="27" t="s">
        <v>136</v>
      </c>
      <c r="N791" s="11" t="s">
        <v>261</v>
      </c>
      <c r="O791" s="11" t="s">
        <v>137</v>
      </c>
      <c r="P791" s="15" t="s">
        <v>138</v>
      </c>
      <c r="Q791" s="11" t="s">
        <v>34</v>
      </c>
      <c r="R791" s="2">
        <f t="shared" si="285"/>
        <v>19839980.340000004</v>
      </c>
      <c r="S791" s="2">
        <v>15999215.570000004</v>
      </c>
      <c r="T791" s="2">
        <v>3840764.7699999996</v>
      </c>
      <c r="U791" s="2">
        <f t="shared" si="282"/>
        <v>1684738.4299999997</v>
      </c>
      <c r="V791" s="28">
        <v>1250220.1999999997</v>
      </c>
      <c r="W791" s="28">
        <v>434518.22999999986</v>
      </c>
      <c r="X791" s="2">
        <f t="shared" si="284"/>
        <v>2098843.63</v>
      </c>
      <c r="Y791" s="2">
        <v>1573170.7</v>
      </c>
      <c r="Z791" s="2">
        <v>525672.93000000005</v>
      </c>
      <c r="AA791" s="2">
        <f t="shared" si="286"/>
        <v>91581</v>
      </c>
      <c r="AB791" s="2">
        <v>72969.23</v>
      </c>
      <c r="AC791" s="2">
        <v>18611.77</v>
      </c>
      <c r="AD791" s="16">
        <f t="shared" si="283"/>
        <v>23715143.400000002</v>
      </c>
      <c r="AE791" s="37">
        <v>144456</v>
      </c>
      <c r="AF791" s="2">
        <f t="shared" si="281"/>
        <v>23859599.400000002</v>
      </c>
      <c r="AG791" s="38" t="s">
        <v>486</v>
      </c>
      <c r="AH791" s="29" t="s">
        <v>3273</v>
      </c>
      <c r="AI791" s="30">
        <f>3893336.98+600000+670747.21+1225083.24+1175586.01+1095417.62+478619.58+208703.31+92292.05+157820.77</f>
        <v>9597606.7700000014</v>
      </c>
      <c r="AJ791" s="30">
        <f>600505.24+218404.22+200005.37+195152.46+66047.42+78592.57+25176.13+7419.41+19047.18</f>
        <v>1410349.9999999998</v>
      </c>
    </row>
    <row r="792" spans="1:36" ht="141.75" x14ac:dyDescent="0.25">
      <c r="A792" s="6">
        <v>789</v>
      </c>
      <c r="B792" s="11">
        <v>129745</v>
      </c>
      <c r="C792" s="11">
        <v>745</v>
      </c>
      <c r="D792" s="11" t="s">
        <v>146</v>
      </c>
      <c r="E792" s="24" t="s">
        <v>1168</v>
      </c>
      <c r="F792" s="27" t="s">
        <v>1170</v>
      </c>
      <c r="G792" s="11" t="s">
        <v>1169</v>
      </c>
      <c r="H792" s="8" t="s">
        <v>151</v>
      </c>
      <c r="I792" s="32" t="s">
        <v>1171</v>
      </c>
      <c r="J792" s="25">
        <v>43663</v>
      </c>
      <c r="K792" s="25">
        <v>44943</v>
      </c>
      <c r="L792" s="26">
        <f t="shared" si="273"/>
        <v>83.983862931897576</v>
      </c>
      <c r="M792" s="27" t="s">
        <v>136</v>
      </c>
      <c r="N792" s="11" t="s">
        <v>261</v>
      </c>
      <c r="O792" s="11" t="s">
        <v>137</v>
      </c>
      <c r="P792" s="15" t="s">
        <v>138</v>
      </c>
      <c r="Q792" s="11" t="s">
        <v>34</v>
      </c>
      <c r="R792" s="2">
        <f t="shared" si="285"/>
        <v>20432953.940000001</v>
      </c>
      <c r="S792" s="2">
        <v>16477397.160000002</v>
      </c>
      <c r="T792" s="2">
        <v>3955556.7800000007</v>
      </c>
      <c r="U792" s="2">
        <f t="shared" si="282"/>
        <v>0</v>
      </c>
      <c r="V792" s="28">
        <v>0</v>
      </c>
      <c r="W792" s="28">
        <v>0</v>
      </c>
      <c r="X792" s="2">
        <f t="shared" si="284"/>
        <v>3896665.14</v>
      </c>
      <c r="Y792" s="2">
        <v>2907775.91</v>
      </c>
      <c r="Z792" s="2">
        <v>988889.23</v>
      </c>
      <c r="AA792" s="2">
        <f t="shared" si="286"/>
        <v>0</v>
      </c>
      <c r="AB792" s="2">
        <v>0</v>
      </c>
      <c r="AC792" s="2">
        <v>0</v>
      </c>
      <c r="AD792" s="16">
        <f t="shared" si="283"/>
        <v>24329619.080000002</v>
      </c>
      <c r="AE792" s="37">
        <v>1520052.49</v>
      </c>
      <c r="AF792" s="2">
        <f t="shared" si="281"/>
        <v>25849671.57</v>
      </c>
      <c r="AG792" s="38" t="s">
        <v>486</v>
      </c>
      <c r="AH792" s="29" t="s">
        <v>2225</v>
      </c>
      <c r="AI792" s="30">
        <f>199741.38+44946.79+2168542.7+2942194.64+5111233.94+2463319.11</f>
        <v>12929978.559999999</v>
      </c>
      <c r="AJ792" s="30">
        <v>0</v>
      </c>
    </row>
    <row r="793" spans="1:36" ht="141.75" x14ac:dyDescent="0.25">
      <c r="A793" s="6">
        <v>790</v>
      </c>
      <c r="B793" s="11">
        <v>127604</v>
      </c>
      <c r="C793" s="11">
        <v>587</v>
      </c>
      <c r="D793" s="11" t="s">
        <v>1172</v>
      </c>
      <c r="E793" s="56" t="s">
        <v>979</v>
      </c>
      <c r="F793" s="27" t="s">
        <v>1173</v>
      </c>
      <c r="G793" s="11" t="s">
        <v>1174</v>
      </c>
      <c r="H793" s="8" t="s">
        <v>151</v>
      </c>
      <c r="I793" s="32" t="s">
        <v>2990</v>
      </c>
      <c r="J793" s="25">
        <v>43663</v>
      </c>
      <c r="K793" s="25">
        <v>45124</v>
      </c>
      <c r="L793" s="26">
        <f t="shared" si="273"/>
        <v>83.983862948661653</v>
      </c>
      <c r="M793" s="27" t="s">
        <v>136</v>
      </c>
      <c r="N793" s="11" t="s">
        <v>261</v>
      </c>
      <c r="O793" s="11" t="s">
        <v>137</v>
      </c>
      <c r="P793" s="15" t="s">
        <v>138</v>
      </c>
      <c r="Q793" s="11" t="s">
        <v>34</v>
      </c>
      <c r="R793" s="2">
        <f t="shared" si="285"/>
        <v>8022963.2600000007</v>
      </c>
      <c r="S793" s="2">
        <v>6469820.9200000009</v>
      </c>
      <c r="T793" s="2">
        <v>1553142.3399999999</v>
      </c>
      <c r="U793" s="2">
        <f t="shared" si="282"/>
        <v>1338959.0399999996</v>
      </c>
      <c r="V793" s="28">
        <v>989501.9099999998</v>
      </c>
      <c r="W793" s="28">
        <v>349457.12999999989</v>
      </c>
      <c r="X793" s="2">
        <f t="shared" si="284"/>
        <v>191059.63999999998</v>
      </c>
      <c r="Y793" s="2">
        <v>152231.12</v>
      </c>
      <c r="Z793" s="2">
        <v>38828.519999999997</v>
      </c>
      <c r="AA793" s="2">
        <f t="shared" si="286"/>
        <v>0</v>
      </c>
      <c r="AB793" s="2">
        <v>0</v>
      </c>
      <c r="AC793" s="2">
        <v>0</v>
      </c>
      <c r="AD793" s="16">
        <f t="shared" si="283"/>
        <v>9552981.9400000013</v>
      </c>
      <c r="AE793" s="37">
        <v>0</v>
      </c>
      <c r="AF793" s="2">
        <f t="shared" si="281"/>
        <v>9552981.9400000013</v>
      </c>
      <c r="AG793" s="38" t="s">
        <v>486</v>
      </c>
      <c r="AH793" s="29" t="s">
        <v>3163</v>
      </c>
      <c r="AI793" s="30">
        <f>729184.89+95917.97+120762.01+115641.58+1026419.93+305742.66+206945.91+1054673.91+771038.97+866974.12</f>
        <v>5293301.95</v>
      </c>
      <c r="AJ793" s="30">
        <f>121694.28+16007.83+20154.08+19299.52+171300.07+51025.63+34537.39+176015.41+128679.33+144690.07</f>
        <v>883403.6100000001</v>
      </c>
    </row>
    <row r="794" spans="1:36" ht="141.75" x14ac:dyDescent="0.25">
      <c r="A794" s="6">
        <v>791</v>
      </c>
      <c r="B794" s="11">
        <v>127638</v>
      </c>
      <c r="C794" s="11">
        <v>607</v>
      </c>
      <c r="D794" s="11" t="s">
        <v>1172</v>
      </c>
      <c r="E794" s="56" t="s">
        <v>979</v>
      </c>
      <c r="F794" s="27" t="s">
        <v>1178</v>
      </c>
      <c r="G794" s="27" t="s">
        <v>1346</v>
      </c>
      <c r="H794" s="11" t="s">
        <v>1224</v>
      </c>
      <c r="I794" s="32" t="s">
        <v>2991</v>
      </c>
      <c r="J794" s="25">
        <v>43670</v>
      </c>
      <c r="K794" s="25">
        <v>44766</v>
      </c>
      <c r="L794" s="26">
        <f t="shared" ref="L794:L846" si="287">R794/AD794*100</f>
        <v>83.983862864065983</v>
      </c>
      <c r="M794" s="27" t="s">
        <v>136</v>
      </c>
      <c r="N794" s="11" t="s">
        <v>261</v>
      </c>
      <c r="O794" s="11" t="s">
        <v>137</v>
      </c>
      <c r="P794" s="15" t="s">
        <v>138</v>
      </c>
      <c r="Q794" s="11" t="s">
        <v>34</v>
      </c>
      <c r="R794" s="2">
        <f t="shared" si="285"/>
        <v>17926249.02</v>
      </c>
      <c r="S794" s="2">
        <v>14455958</v>
      </c>
      <c r="T794" s="2">
        <v>3470291.02</v>
      </c>
      <c r="U794" s="2">
        <f t="shared" si="282"/>
        <v>1799975.77</v>
      </c>
      <c r="V794" s="28">
        <v>1330197.26</v>
      </c>
      <c r="W794" s="28">
        <v>469778.51</v>
      </c>
      <c r="X794" s="2">
        <f t="shared" si="284"/>
        <v>1618648.39</v>
      </c>
      <c r="Y794" s="2">
        <v>1220854.1599999999</v>
      </c>
      <c r="Z794" s="2">
        <v>397794.23</v>
      </c>
      <c r="AA794" s="2">
        <f t="shared" si="286"/>
        <v>0</v>
      </c>
      <c r="AB794" s="2">
        <v>0</v>
      </c>
      <c r="AC794" s="2">
        <v>0</v>
      </c>
      <c r="AD794" s="16">
        <f t="shared" si="283"/>
        <v>21344873.18</v>
      </c>
      <c r="AE794" s="37">
        <v>0</v>
      </c>
      <c r="AF794" s="2">
        <f t="shared" ref="AF794:AF799" si="288">AD794+AE794</f>
        <v>21344873.18</v>
      </c>
      <c r="AG794" s="38" t="s">
        <v>857</v>
      </c>
      <c r="AH794" s="29" t="s">
        <v>151</v>
      </c>
      <c r="AI794" s="30">
        <f>1253535.02+958175.23+986010.03+1413603.49+1541889.98+1203331.37+2085605.8+2041528.28+1082195.91+1042056.65+987179.85</f>
        <v>14595111.609999999</v>
      </c>
      <c r="AJ794" s="30">
        <f>16365.18+65426.77+64307.58+61461.32+88364.69+105947.71+83736.75+222388.59+257281.88+106996.1+102790.43+104379.69</f>
        <v>1279446.69</v>
      </c>
    </row>
    <row r="795" spans="1:36" ht="154.5" customHeight="1" x14ac:dyDescent="0.25">
      <c r="A795" s="6">
        <v>792</v>
      </c>
      <c r="B795" s="11">
        <v>126229</v>
      </c>
      <c r="C795" s="11">
        <v>639</v>
      </c>
      <c r="D795" s="11" t="s">
        <v>145</v>
      </c>
      <c r="E795" s="56" t="s">
        <v>1179</v>
      </c>
      <c r="F795" s="27" t="s">
        <v>1180</v>
      </c>
      <c r="G795" s="11" t="s">
        <v>99</v>
      </c>
      <c r="H795" s="11" t="s">
        <v>1181</v>
      </c>
      <c r="I795" s="32" t="s">
        <v>1182</v>
      </c>
      <c r="J795" s="25">
        <v>43670</v>
      </c>
      <c r="K795" s="25">
        <v>45131</v>
      </c>
      <c r="L795" s="26">
        <f t="shared" si="287"/>
        <v>83.98386251323501</v>
      </c>
      <c r="M795" s="27" t="s">
        <v>136</v>
      </c>
      <c r="N795" s="11" t="s">
        <v>261</v>
      </c>
      <c r="O795" s="11" t="s">
        <v>137</v>
      </c>
      <c r="P795" s="15" t="s">
        <v>138</v>
      </c>
      <c r="Q795" s="11" t="s">
        <v>34</v>
      </c>
      <c r="R795" s="2">
        <f t="shared" si="285"/>
        <v>4825816.88</v>
      </c>
      <c r="S795" s="2">
        <v>3891600.89</v>
      </c>
      <c r="T795" s="2">
        <v>934215.99</v>
      </c>
      <c r="U795" s="2">
        <f t="shared" si="282"/>
        <v>0</v>
      </c>
      <c r="V795" s="28">
        <v>0</v>
      </c>
      <c r="W795" s="28">
        <v>0</v>
      </c>
      <c r="X795" s="2">
        <f t="shared" si="284"/>
        <v>920307.12</v>
      </c>
      <c r="Y795" s="2">
        <v>686753.08</v>
      </c>
      <c r="Z795" s="2">
        <v>233554.04</v>
      </c>
      <c r="AA795" s="2">
        <f t="shared" si="286"/>
        <v>0</v>
      </c>
      <c r="AB795" s="2">
        <v>0</v>
      </c>
      <c r="AC795" s="2">
        <v>0</v>
      </c>
      <c r="AD795" s="16">
        <f t="shared" si="283"/>
        <v>5746124</v>
      </c>
      <c r="AE795" s="37">
        <v>0</v>
      </c>
      <c r="AF795" s="37">
        <f t="shared" si="288"/>
        <v>5746124</v>
      </c>
      <c r="AG795" s="38" t="s">
        <v>486</v>
      </c>
      <c r="AH795" s="29" t="s">
        <v>2457</v>
      </c>
      <c r="AI795" s="172">
        <f>145280.83+37694.12+28968.97+15635.27+94474.87+29236.46+15273.3+12464.88+61117.57+28298.36+8035.58</f>
        <v>476480.20999999996</v>
      </c>
      <c r="AJ795" s="172">
        <v>0</v>
      </c>
    </row>
    <row r="796" spans="1:36" ht="154.5" customHeight="1" x14ac:dyDescent="0.25">
      <c r="A796" s="6">
        <v>793</v>
      </c>
      <c r="B796" s="11">
        <v>127545</v>
      </c>
      <c r="C796" s="11">
        <v>613</v>
      </c>
      <c r="D796" s="11" t="s">
        <v>143</v>
      </c>
      <c r="E796" s="56" t="s">
        <v>979</v>
      </c>
      <c r="F796" s="27" t="s">
        <v>1190</v>
      </c>
      <c r="G796" s="27" t="s">
        <v>74</v>
      </c>
      <c r="H796" s="11" t="s">
        <v>1191</v>
      </c>
      <c r="I796" s="32" t="s">
        <v>2992</v>
      </c>
      <c r="J796" s="25">
        <v>43677</v>
      </c>
      <c r="K796" s="25">
        <v>45138</v>
      </c>
      <c r="L796" s="26">
        <f t="shared" si="287"/>
        <v>83.484031375794231</v>
      </c>
      <c r="M796" s="27" t="s">
        <v>136</v>
      </c>
      <c r="N796" s="11" t="s">
        <v>261</v>
      </c>
      <c r="O796" s="11" t="s">
        <v>137</v>
      </c>
      <c r="P796" s="15" t="s">
        <v>138</v>
      </c>
      <c r="Q796" s="11" t="s">
        <v>34</v>
      </c>
      <c r="R796" s="2">
        <f t="shared" si="285"/>
        <v>20871001.039999999</v>
      </c>
      <c r="S796" s="2">
        <v>16830644</v>
      </c>
      <c r="T796" s="2">
        <v>4040357.04</v>
      </c>
      <c r="U796" s="2">
        <f t="shared" si="282"/>
        <v>1167673.8599999999</v>
      </c>
      <c r="V796" s="28">
        <v>871343.51</v>
      </c>
      <c r="W796" s="28">
        <v>296330.34999999998</v>
      </c>
      <c r="X796" s="2">
        <f t="shared" si="284"/>
        <v>2812529.02</v>
      </c>
      <c r="Y796" s="2">
        <v>2098770.06</v>
      </c>
      <c r="Z796" s="2">
        <v>713758.96</v>
      </c>
      <c r="AA796" s="2">
        <f t="shared" si="286"/>
        <v>148787.93</v>
      </c>
      <c r="AB796" s="2">
        <v>118550.13</v>
      </c>
      <c r="AC796" s="2">
        <v>30237.8</v>
      </c>
      <c r="AD796" s="16">
        <f t="shared" si="283"/>
        <v>24999991.849999998</v>
      </c>
      <c r="AE796" s="37">
        <v>0</v>
      </c>
      <c r="AF796" s="37">
        <f t="shared" si="288"/>
        <v>24999991.849999998</v>
      </c>
      <c r="AG796" s="38" t="s">
        <v>486</v>
      </c>
      <c r="AH796" s="29" t="s">
        <v>1862</v>
      </c>
      <c r="AI796" s="30">
        <f>2441026.11+1058725.31+1022971.17+454217.09+657211.52-100086.86+1278335.91+1000077.5+633864.98+505124.39+446848.64-97241.55+2032691.16-97752.91+1364370.77+610340.08-77956.18+1305164.34</f>
        <v>14437931.469999999</v>
      </c>
      <c r="AJ796" s="30">
        <f>75306.49+85584.09+86633.56+94084.22+105259.9+100086.86+101520.68+71567.89+97241.55+97752.91+77956.18</f>
        <v>992994.33000000007</v>
      </c>
    </row>
    <row r="797" spans="1:36" ht="154.5" customHeight="1" x14ac:dyDescent="0.25">
      <c r="A797" s="6">
        <v>794</v>
      </c>
      <c r="B797" s="31">
        <v>127380</v>
      </c>
      <c r="C797" s="31">
        <v>577</v>
      </c>
      <c r="D797" s="11" t="s">
        <v>143</v>
      </c>
      <c r="E797" s="56" t="s">
        <v>979</v>
      </c>
      <c r="F797" s="67" t="s">
        <v>1193</v>
      </c>
      <c r="G797" s="27" t="s">
        <v>1348</v>
      </c>
      <c r="H797" s="8" t="s">
        <v>151</v>
      </c>
      <c r="I797" s="32" t="s">
        <v>2993</v>
      </c>
      <c r="J797" s="25">
        <v>43679</v>
      </c>
      <c r="K797" s="25">
        <v>44836</v>
      </c>
      <c r="L797" s="26">
        <f t="shared" si="287"/>
        <v>83.983862948260466</v>
      </c>
      <c r="M797" s="27" t="s">
        <v>136</v>
      </c>
      <c r="N797" s="11" t="s">
        <v>261</v>
      </c>
      <c r="O797" s="11" t="s">
        <v>137</v>
      </c>
      <c r="P797" s="15" t="s">
        <v>138</v>
      </c>
      <c r="Q797" s="11" t="s">
        <v>34</v>
      </c>
      <c r="R797" s="2">
        <f t="shared" si="285"/>
        <v>7020649.5500000007</v>
      </c>
      <c r="S797" s="2">
        <v>5661542.1600000001</v>
      </c>
      <c r="T797" s="2">
        <v>1359107.3900000004</v>
      </c>
      <c r="U797" s="2">
        <f t="shared" si="282"/>
        <v>0</v>
      </c>
      <c r="V797" s="28">
        <v>0</v>
      </c>
      <c r="W797" s="28">
        <v>0</v>
      </c>
      <c r="X797" s="2">
        <f t="shared" si="284"/>
        <v>1338872.51</v>
      </c>
      <c r="Y797" s="2">
        <v>999095.7</v>
      </c>
      <c r="Z797" s="2">
        <v>339776.81</v>
      </c>
      <c r="AA797" s="2">
        <f t="shared" si="286"/>
        <v>0</v>
      </c>
      <c r="AB797" s="2">
        <v>0</v>
      </c>
      <c r="AC797" s="2">
        <v>0</v>
      </c>
      <c r="AD797" s="16">
        <f t="shared" si="283"/>
        <v>8359522.0600000005</v>
      </c>
      <c r="AE797" s="37">
        <v>0</v>
      </c>
      <c r="AF797" s="37">
        <f t="shared" si="288"/>
        <v>8359522.0600000005</v>
      </c>
      <c r="AG797" s="38" t="s">
        <v>857</v>
      </c>
      <c r="AH797" s="29" t="s">
        <v>2062</v>
      </c>
      <c r="AI797" s="173">
        <f>763188.96+122256.99+52534.43+742881.78+974677.25+895732.41+52534.43+813428.22+52534.43+773502.3+354582.39</f>
        <v>5597853.5899999999</v>
      </c>
      <c r="AJ797" s="173">
        <v>0</v>
      </c>
    </row>
    <row r="798" spans="1:36" ht="154.5" customHeight="1" x14ac:dyDescent="0.25">
      <c r="A798" s="6">
        <v>795</v>
      </c>
      <c r="B798" s="31">
        <v>127401</v>
      </c>
      <c r="C798" s="31">
        <v>599</v>
      </c>
      <c r="D798" s="174" t="s">
        <v>143</v>
      </c>
      <c r="E798" s="174" t="s">
        <v>979</v>
      </c>
      <c r="F798" s="67" t="s">
        <v>1194</v>
      </c>
      <c r="G798" s="27" t="s">
        <v>2003</v>
      </c>
      <c r="H798" s="8" t="s">
        <v>151</v>
      </c>
      <c r="I798" s="32" t="s">
        <v>2994</v>
      </c>
      <c r="J798" s="25">
        <v>43677</v>
      </c>
      <c r="K798" s="25">
        <v>45291</v>
      </c>
      <c r="L798" s="26">
        <f t="shared" si="287"/>
        <v>83.983862769687562</v>
      </c>
      <c r="M798" s="27" t="s">
        <v>136</v>
      </c>
      <c r="N798" s="11" t="s">
        <v>261</v>
      </c>
      <c r="O798" s="11" t="s">
        <v>137</v>
      </c>
      <c r="P798" s="15" t="s">
        <v>138</v>
      </c>
      <c r="Q798" s="11" t="s">
        <v>34</v>
      </c>
      <c r="R798" s="2">
        <f t="shared" si="285"/>
        <v>3643193.6799999992</v>
      </c>
      <c r="S798" s="2">
        <v>2937918.2999999993</v>
      </c>
      <c r="T798" s="2">
        <v>705275.38</v>
      </c>
      <c r="U798" s="2">
        <f t="shared" si="282"/>
        <v>0</v>
      </c>
      <c r="V798" s="28">
        <v>0</v>
      </c>
      <c r="W798" s="28">
        <v>0</v>
      </c>
      <c r="X798" s="2">
        <f t="shared" si="284"/>
        <v>694775.02</v>
      </c>
      <c r="Y798" s="2">
        <v>518456.16</v>
      </c>
      <c r="Z798" s="2">
        <v>176318.86</v>
      </c>
      <c r="AA798" s="2">
        <f t="shared" si="286"/>
        <v>0</v>
      </c>
      <c r="AB798" s="2">
        <v>0</v>
      </c>
      <c r="AC798" s="2">
        <v>0</v>
      </c>
      <c r="AD798" s="16">
        <f t="shared" si="283"/>
        <v>4337968.6999999993</v>
      </c>
      <c r="AE798" s="37">
        <v>0</v>
      </c>
      <c r="AF798" s="37">
        <f t="shared" si="288"/>
        <v>4337968.6999999993</v>
      </c>
      <c r="AG798" s="38" t="s">
        <v>486</v>
      </c>
      <c r="AH798" s="29" t="s">
        <v>2052</v>
      </c>
      <c r="AI798" s="173">
        <f>69137.6+3347.53+168654.25</f>
        <v>241139.38</v>
      </c>
      <c r="AJ798" s="173">
        <v>0</v>
      </c>
    </row>
    <row r="799" spans="1:36" ht="267.75" x14ac:dyDescent="0.25">
      <c r="A799" s="6">
        <v>796</v>
      </c>
      <c r="B799" s="31">
        <v>126656</v>
      </c>
      <c r="C799" s="31">
        <v>588</v>
      </c>
      <c r="D799" s="11" t="s">
        <v>143</v>
      </c>
      <c r="E799" s="174" t="s">
        <v>979</v>
      </c>
      <c r="F799" s="67" t="s">
        <v>1198</v>
      </c>
      <c r="G799" s="11" t="s">
        <v>1397</v>
      </c>
      <c r="H799" s="11" t="s">
        <v>1199</v>
      </c>
      <c r="I799" s="32" t="s">
        <v>2995</v>
      </c>
      <c r="J799" s="25">
        <v>43679</v>
      </c>
      <c r="K799" s="25">
        <v>44897</v>
      </c>
      <c r="L799" s="26">
        <f t="shared" si="287"/>
        <v>83.983863236326329</v>
      </c>
      <c r="M799" s="27" t="s">
        <v>136</v>
      </c>
      <c r="N799" s="11" t="s">
        <v>261</v>
      </c>
      <c r="O799" s="11" t="s">
        <v>137</v>
      </c>
      <c r="P799" s="15" t="s">
        <v>138</v>
      </c>
      <c r="Q799" s="11" t="s">
        <v>34</v>
      </c>
      <c r="R799" s="2">
        <f t="shared" si="285"/>
        <v>15554651.309999999</v>
      </c>
      <c r="S799" s="2">
        <v>12543471.059999999</v>
      </c>
      <c r="T799" s="2">
        <v>3011180.2500000009</v>
      </c>
      <c r="U799" s="2">
        <f t="shared" si="282"/>
        <v>350403.41000000003</v>
      </c>
      <c r="V799" s="28">
        <v>258951.08000000002</v>
      </c>
      <c r="W799" s="28">
        <v>91452.33</v>
      </c>
      <c r="X799" s="2">
        <f t="shared" si="284"/>
        <v>2615945.2800000003</v>
      </c>
      <c r="Y799" s="2">
        <v>1954602.59</v>
      </c>
      <c r="Z799" s="2">
        <v>661342.68999999994</v>
      </c>
      <c r="AA799" s="2">
        <f t="shared" si="286"/>
        <v>0</v>
      </c>
      <c r="AB799" s="2">
        <v>0</v>
      </c>
      <c r="AC799" s="2">
        <v>0</v>
      </c>
      <c r="AD799" s="16">
        <f t="shared" si="283"/>
        <v>18521000</v>
      </c>
      <c r="AE799" s="37">
        <v>0</v>
      </c>
      <c r="AF799" s="37">
        <f t="shared" si="288"/>
        <v>18521000</v>
      </c>
      <c r="AG799" s="38" t="s">
        <v>486</v>
      </c>
      <c r="AH799" s="175" t="s">
        <v>2458</v>
      </c>
      <c r="AI799" s="176">
        <f>2878878.12+420598.37+575376.98+8321784.61+46957.9+206199.7+301714.27</f>
        <v>12751509.949999999</v>
      </c>
      <c r="AJ799" s="176">
        <f>23069.09+56020.34+56397.11+34412.84+50353.34</f>
        <v>220252.71999999997</v>
      </c>
    </row>
    <row r="800" spans="1:36" ht="141.75" x14ac:dyDescent="0.25">
      <c r="A800" s="6">
        <v>797</v>
      </c>
      <c r="B800" s="31">
        <v>127529</v>
      </c>
      <c r="C800" s="31">
        <v>618</v>
      </c>
      <c r="D800" s="11" t="s">
        <v>143</v>
      </c>
      <c r="E800" s="174" t="s">
        <v>979</v>
      </c>
      <c r="F800" s="67" t="s">
        <v>1209</v>
      </c>
      <c r="G800" s="27" t="s">
        <v>1348</v>
      </c>
      <c r="H800" s="8" t="s">
        <v>151</v>
      </c>
      <c r="I800" s="32" t="s">
        <v>1210</v>
      </c>
      <c r="J800" s="25">
        <v>43683</v>
      </c>
      <c r="K800" s="25">
        <v>45022</v>
      </c>
      <c r="L800" s="26">
        <f t="shared" si="287"/>
        <v>83.983862894119284</v>
      </c>
      <c r="M800" s="27" t="s">
        <v>136</v>
      </c>
      <c r="N800" s="11" t="s">
        <v>261</v>
      </c>
      <c r="O800" s="11" t="s">
        <v>137</v>
      </c>
      <c r="P800" s="15" t="s">
        <v>138</v>
      </c>
      <c r="Q800" s="11" t="s">
        <v>34</v>
      </c>
      <c r="R800" s="2">
        <f t="shared" si="285"/>
        <v>12609023.470000001</v>
      </c>
      <c r="S800" s="2">
        <v>10168078.890000001</v>
      </c>
      <c r="T800" s="2">
        <v>2440944.58</v>
      </c>
      <c r="U800" s="2">
        <v>0</v>
      </c>
      <c r="V800" s="28">
        <v>0</v>
      </c>
      <c r="W800" s="28">
        <v>0</v>
      </c>
      <c r="X800" s="2">
        <f t="shared" si="284"/>
        <v>2404603</v>
      </c>
      <c r="Y800" s="2">
        <v>1794366.83</v>
      </c>
      <c r="Z800" s="2">
        <v>610236.17000000004</v>
      </c>
      <c r="AA800" s="2">
        <v>0</v>
      </c>
      <c r="AB800" s="2">
        <v>0</v>
      </c>
      <c r="AC800" s="2">
        <v>0</v>
      </c>
      <c r="AD800" s="16">
        <f t="shared" si="283"/>
        <v>15013626.470000001</v>
      </c>
      <c r="AE800" s="37">
        <v>0</v>
      </c>
      <c r="AF800" s="37">
        <v>15013626.470000001</v>
      </c>
      <c r="AG800" s="38" t="s">
        <v>486</v>
      </c>
      <c r="AH800" s="175" t="s">
        <v>1952</v>
      </c>
      <c r="AI800" s="173">
        <f>1290323.25+62422.68+65015.25+128450.8+49284.26+52463.06+552743.17+1588802.51+52675.52+52450.46</f>
        <v>3894630.9600000004</v>
      </c>
      <c r="AJ800" s="173">
        <v>0</v>
      </c>
    </row>
    <row r="801" spans="1:36" ht="162" customHeight="1" x14ac:dyDescent="0.25">
      <c r="A801" s="6">
        <v>798</v>
      </c>
      <c r="B801" s="31">
        <v>127558</v>
      </c>
      <c r="C801" s="31">
        <v>617</v>
      </c>
      <c r="D801" s="11" t="s">
        <v>143</v>
      </c>
      <c r="E801" s="174" t="s">
        <v>979</v>
      </c>
      <c r="F801" s="67" t="s">
        <v>1216</v>
      </c>
      <c r="G801" s="27" t="s">
        <v>1153</v>
      </c>
      <c r="H801" s="11" t="s">
        <v>1217</v>
      </c>
      <c r="I801" s="32" t="s">
        <v>2996</v>
      </c>
      <c r="J801" s="25">
        <v>43690</v>
      </c>
      <c r="K801" s="25">
        <v>44970</v>
      </c>
      <c r="L801" s="26">
        <f t="shared" si="287"/>
        <v>83.983863362709897</v>
      </c>
      <c r="M801" s="27" t="s">
        <v>136</v>
      </c>
      <c r="N801" s="11" t="s">
        <v>261</v>
      </c>
      <c r="O801" s="11" t="s">
        <v>137</v>
      </c>
      <c r="P801" s="15" t="s">
        <v>138</v>
      </c>
      <c r="Q801" s="11" t="s">
        <v>34</v>
      </c>
      <c r="R801" s="2">
        <f t="shared" ref="R801:R846" si="289">S801+T801</f>
        <v>5192279.45</v>
      </c>
      <c r="S801" s="2">
        <v>4187120.98</v>
      </c>
      <c r="T801" s="2">
        <v>1005158.4699999999</v>
      </c>
      <c r="U801" s="2">
        <f t="shared" ref="U801:U846" si="290">V801+W801</f>
        <v>582523.55999999994</v>
      </c>
      <c r="V801" s="28">
        <v>430489.84999999992</v>
      </c>
      <c r="W801" s="28">
        <v>152033.71</v>
      </c>
      <c r="X801" s="2">
        <f t="shared" ref="X801:X846" si="291">Y801+Z801</f>
        <v>407669.72000000003</v>
      </c>
      <c r="Y801" s="2">
        <v>308413.84000000003</v>
      </c>
      <c r="Z801" s="2">
        <v>99255.88</v>
      </c>
      <c r="AA801" s="2">
        <f t="shared" ref="AA801:AA836" si="292">AB801+AC801</f>
        <v>0</v>
      </c>
      <c r="AB801" s="2">
        <v>0</v>
      </c>
      <c r="AC801" s="2">
        <v>0</v>
      </c>
      <c r="AD801" s="16">
        <f t="shared" si="283"/>
        <v>6182472.7299999995</v>
      </c>
      <c r="AE801" s="37">
        <v>0</v>
      </c>
      <c r="AF801" s="37">
        <f t="shared" ref="AF801:AF846" si="293">AD801+AE801</f>
        <v>6182472.7299999995</v>
      </c>
      <c r="AG801" s="38" t="s">
        <v>486</v>
      </c>
      <c r="AH801" s="175" t="s">
        <v>2370</v>
      </c>
      <c r="AI801" s="30">
        <f>188227.39+57274.01+67960.59-9998.28+9998.28+301092.15+71242.01+126125.29+1594439.52</f>
        <v>2406360.96</v>
      </c>
      <c r="AJ801" s="30">
        <f>3394.43+5680.37+5952.09+43552.5+4161.57+11329.8+199477.23</f>
        <v>273547.99</v>
      </c>
    </row>
    <row r="802" spans="1:36" ht="236.25" x14ac:dyDescent="0.25">
      <c r="A802" s="6">
        <v>799</v>
      </c>
      <c r="B802" s="31">
        <v>125764</v>
      </c>
      <c r="C802" s="31">
        <v>586</v>
      </c>
      <c r="D802" s="11" t="s">
        <v>143</v>
      </c>
      <c r="E802" s="174" t="s">
        <v>979</v>
      </c>
      <c r="F802" s="67" t="s">
        <v>1218</v>
      </c>
      <c r="G802" s="27" t="s">
        <v>1353</v>
      </c>
      <c r="H802" s="8" t="s">
        <v>151</v>
      </c>
      <c r="I802" s="32" t="s">
        <v>2997</v>
      </c>
      <c r="J802" s="25">
        <v>43690</v>
      </c>
      <c r="K802" s="25">
        <v>45212</v>
      </c>
      <c r="L802" s="26">
        <f t="shared" si="287"/>
        <v>83.983863083303191</v>
      </c>
      <c r="M802" s="27" t="s">
        <v>136</v>
      </c>
      <c r="N802" s="11" t="s">
        <v>261</v>
      </c>
      <c r="O802" s="11" t="s">
        <v>137</v>
      </c>
      <c r="P802" s="15" t="s">
        <v>138</v>
      </c>
      <c r="Q802" s="11" t="s">
        <v>34</v>
      </c>
      <c r="R802" s="2">
        <f t="shared" si="289"/>
        <v>13100178.379999995</v>
      </c>
      <c r="S802" s="2">
        <v>10564152.539999997</v>
      </c>
      <c r="T802" s="2">
        <v>2536025.8399999989</v>
      </c>
      <c r="U802" s="2">
        <f t="shared" si="290"/>
        <v>0</v>
      </c>
      <c r="V802" s="28">
        <v>0</v>
      </c>
      <c r="W802" s="28">
        <v>0</v>
      </c>
      <c r="X802" s="2">
        <f t="shared" si="291"/>
        <v>2498268.63</v>
      </c>
      <c r="Y802" s="2">
        <v>1864262.14</v>
      </c>
      <c r="Z802" s="2">
        <v>634006.49</v>
      </c>
      <c r="AA802" s="2">
        <f t="shared" si="292"/>
        <v>0</v>
      </c>
      <c r="AB802" s="2">
        <v>0</v>
      </c>
      <c r="AC802" s="2">
        <v>0</v>
      </c>
      <c r="AD802" s="16">
        <f t="shared" si="283"/>
        <v>15598447.009999994</v>
      </c>
      <c r="AE802" s="37">
        <v>0</v>
      </c>
      <c r="AF802" s="37">
        <f t="shared" si="293"/>
        <v>15598447.009999994</v>
      </c>
      <c r="AG802" s="38" t="s">
        <v>486</v>
      </c>
      <c r="AH802" s="175" t="s">
        <v>3297</v>
      </c>
      <c r="AI802" s="30">
        <f>407379.82+60533.9+49990.55+46307.86+30894.3+41391.45+52715.83+137747.67+32200.26+1142343.96</f>
        <v>2001505.6</v>
      </c>
      <c r="AJ802" s="30">
        <v>0</v>
      </c>
    </row>
    <row r="803" spans="1:36" ht="173.25" x14ac:dyDescent="0.25">
      <c r="A803" s="6">
        <v>800</v>
      </c>
      <c r="B803" s="31">
        <v>127462</v>
      </c>
      <c r="C803" s="31">
        <v>581</v>
      </c>
      <c r="D803" s="11" t="s">
        <v>143</v>
      </c>
      <c r="E803" s="174" t="s">
        <v>979</v>
      </c>
      <c r="F803" s="67" t="s">
        <v>1219</v>
      </c>
      <c r="G803" s="27" t="s">
        <v>1220</v>
      </c>
      <c r="H803" s="11" t="s">
        <v>1221</v>
      </c>
      <c r="I803" s="32" t="s">
        <v>2998</v>
      </c>
      <c r="J803" s="25">
        <v>43690</v>
      </c>
      <c r="K803" s="25">
        <v>44908</v>
      </c>
      <c r="L803" s="26">
        <f t="shared" si="287"/>
        <v>83.81974496254557</v>
      </c>
      <c r="M803" s="27" t="s">
        <v>136</v>
      </c>
      <c r="N803" s="11" t="s">
        <v>261</v>
      </c>
      <c r="O803" s="11" t="s">
        <v>137</v>
      </c>
      <c r="P803" s="15" t="s">
        <v>138</v>
      </c>
      <c r="Q803" s="11" t="s">
        <v>34</v>
      </c>
      <c r="R803" s="2">
        <f t="shared" si="289"/>
        <v>16722840.989999998</v>
      </c>
      <c r="S803" s="2">
        <v>13485514.289999999</v>
      </c>
      <c r="T803" s="2">
        <v>3237326.7</v>
      </c>
      <c r="U803" s="2">
        <f t="shared" si="290"/>
        <v>2829096.54</v>
      </c>
      <c r="V803" s="28">
        <v>2092933.21</v>
      </c>
      <c r="W803" s="28">
        <v>736163.33</v>
      </c>
      <c r="X803" s="2">
        <f t="shared" si="291"/>
        <v>360031.77</v>
      </c>
      <c r="Y803" s="2">
        <v>286863.42</v>
      </c>
      <c r="Z803" s="2">
        <v>73168.350000000006</v>
      </c>
      <c r="AA803" s="2">
        <f t="shared" si="292"/>
        <v>38987.360000000001</v>
      </c>
      <c r="AB803" s="2">
        <v>31064.05</v>
      </c>
      <c r="AC803" s="2">
        <v>7923.31</v>
      </c>
      <c r="AD803" s="16">
        <f t="shared" si="283"/>
        <v>19950956.659999996</v>
      </c>
      <c r="AE803" s="37">
        <v>0</v>
      </c>
      <c r="AF803" s="37">
        <f t="shared" si="293"/>
        <v>19950956.659999996</v>
      </c>
      <c r="AG803" s="38" t="s">
        <v>486</v>
      </c>
      <c r="AH803" s="175" t="s">
        <v>2301</v>
      </c>
      <c r="AI803" s="30">
        <f>645008.07+192434.46+27134.16+264408.25-23366.2+347653.73+109053.81+1470378.13-8332.91+27357.74+12742.03+1108124.28+487120.33+725203.81+1365051.86+84120.76+1223637.22+176630+14907.14+41860.16+439070.31+54522.99+1900124.08</f>
        <v>10684844.209999999</v>
      </c>
      <c r="AJ803" s="30">
        <f>101913.04+12417.88+42350.03+11594.15+23366.2+33672.25+44388.96+222006.36+8332.91+4565.76+2126.53+213660.41+67560.12+121029.87+227814.65+33717.36+204213.84+30323.06+2487.86+6986.08+73276.82+9099.39+317113.3</f>
        <v>1814016.8300000003</v>
      </c>
    </row>
    <row r="804" spans="1:36" ht="189" x14ac:dyDescent="0.25">
      <c r="A804" s="6">
        <v>801</v>
      </c>
      <c r="B804" s="11">
        <v>129502</v>
      </c>
      <c r="C804" s="11">
        <v>746</v>
      </c>
      <c r="D804" s="32" t="s">
        <v>146</v>
      </c>
      <c r="E804" s="24" t="s">
        <v>1168</v>
      </c>
      <c r="F804" s="11" t="s">
        <v>1234</v>
      </c>
      <c r="G804" s="11" t="s">
        <v>1233</v>
      </c>
      <c r="H804" s="11" t="s">
        <v>1232</v>
      </c>
      <c r="I804" s="12" t="s">
        <v>1231</v>
      </c>
      <c r="J804" s="25">
        <v>43697</v>
      </c>
      <c r="K804" s="25">
        <v>45219</v>
      </c>
      <c r="L804" s="26">
        <f t="shared" si="287"/>
        <v>83.983862795774542</v>
      </c>
      <c r="M804" s="27" t="s">
        <v>136</v>
      </c>
      <c r="N804" s="11" t="s">
        <v>261</v>
      </c>
      <c r="O804" s="11" t="s">
        <v>137</v>
      </c>
      <c r="P804" s="15" t="s">
        <v>138</v>
      </c>
      <c r="Q804" s="11" t="s">
        <v>34</v>
      </c>
      <c r="R804" s="1">
        <f t="shared" si="289"/>
        <v>16341565.460000003</v>
      </c>
      <c r="S804" s="2">
        <v>13178048.740000002</v>
      </c>
      <c r="T804" s="2">
        <v>3163516.7200000011</v>
      </c>
      <c r="U804" s="1">
        <f t="shared" si="290"/>
        <v>612798.06999999983</v>
      </c>
      <c r="V804" s="28">
        <v>452862.94999999984</v>
      </c>
      <c r="W804" s="28">
        <v>159935.11999999994</v>
      </c>
      <c r="X804" s="1">
        <f t="shared" si="291"/>
        <v>2503619.13</v>
      </c>
      <c r="Y804" s="2">
        <v>1872675.12</v>
      </c>
      <c r="Z804" s="2">
        <v>630944.01</v>
      </c>
      <c r="AA804" s="2">
        <f t="shared" si="292"/>
        <v>0</v>
      </c>
      <c r="AB804" s="2">
        <v>0</v>
      </c>
      <c r="AC804" s="2">
        <v>0</v>
      </c>
      <c r="AD804" s="16">
        <f t="shared" si="283"/>
        <v>19457982.66</v>
      </c>
      <c r="AE804" s="2">
        <v>0</v>
      </c>
      <c r="AF804" s="2">
        <f t="shared" si="293"/>
        <v>19457982.66</v>
      </c>
      <c r="AG804" s="38" t="s">
        <v>486</v>
      </c>
      <c r="AH804" s="29" t="s">
        <v>1981</v>
      </c>
      <c r="AI804" s="30">
        <f>238670.27+559386.55+364853.32+124488.29+243919.75+161861.05+344034.22+790470.77-2972.65+184320+582190.52+350831.72+657299.71</f>
        <v>4599353.5200000005</v>
      </c>
      <c r="AJ804" s="30">
        <f>2450.84+7846.76+45505.93+412.07+9977.53+11413.05+2096.82+74080.04+2844.14+52901.11+20493.69+29552.18</f>
        <v>259574.16000000003</v>
      </c>
    </row>
    <row r="805" spans="1:36" ht="189" x14ac:dyDescent="0.25">
      <c r="A805" s="6">
        <v>802</v>
      </c>
      <c r="B805" s="11">
        <v>129865</v>
      </c>
      <c r="C805" s="11">
        <v>747</v>
      </c>
      <c r="D805" s="32" t="s">
        <v>146</v>
      </c>
      <c r="E805" s="24" t="s">
        <v>1168</v>
      </c>
      <c r="F805" s="11" t="s">
        <v>1230</v>
      </c>
      <c r="G805" s="11" t="s">
        <v>1229</v>
      </c>
      <c r="H805" s="11" t="s">
        <v>1228</v>
      </c>
      <c r="I805" s="12" t="s">
        <v>1227</v>
      </c>
      <c r="J805" s="25">
        <v>43697</v>
      </c>
      <c r="K805" s="25">
        <v>45158</v>
      </c>
      <c r="L805" s="26">
        <f t="shared" si="287"/>
        <v>83.98386275999998</v>
      </c>
      <c r="M805" s="27" t="s">
        <v>136</v>
      </c>
      <c r="N805" s="11" t="s">
        <v>261</v>
      </c>
      <c r="O805" s="11" t="s">
        <v>137</v>
      </c>
      <c r="P805" s="15" t="s">
        <v>138</v>
      </c>
      <c r="Q805" s="11" t="s">
        <v>34</v>
      </c>
      <c r="R805" s="1">
        <f t="shared" si="289"/>
        <v>20995965.689999994</v>
      </c>
      <c r="S805" s="2">
        <v>16931417.079999994</v>
      </c>
      <c r="T805" s="2">
        <v>4064548.61</v>
      </c>
      <c r="U805" s="1">
        <f t="shared" si="290"/>
        <v>321491.37</v>
      </c>
      <c r="V805" s="28">
        <v>237584.8</v>
      </c>
      <c r="W805" s="28">
        <v>83906.57</v>
      </c>
      <c r="X805" s="1">
        <f t="shared" si="291"/>
        <v>3682542.94</v>
      </c>
      <c r="Y805" s="2">
        <v>2750312.32</v>
      </c>
      <c r="Z805" s="2">
        <v>932230.62</v>
      </c>
      <c r="AA805" s="2">
        <f t="shared" si="292"/>
        <v>0</v>
      </c>
      <c r="AB805" s="2">
        <v>0</v>
      </c>
      <c r="AC805" s="2">
        <v>0</v>
      </c>
      <c r="AD805" s="16">
        <f t="shared" si="283"/>
        <v>24999999.999999996</v>
      </c>
      <c r="AE805" s="2">
        <v>4000</v>
      </c>
      <c r="AF805" s="2">
        <f t="shared" si="293"/>
        <v>25003999.999999996</v>
      </c>
      <c r="AG805" s="38" t="s">
        <v>486</v>
      </c>
      <c r="AH805" s="29" t="s">
        <v>3292</v>
      </c>
      <c r="AI805" s="30">
        <f>1811209.04+268056.34+1451454.88+60000+554008.73-2145.79+464628.89+299999.99+1795362.04+287907.95+2433016.77+1304783.92+1119205.34+1758379.87</f>
        <v>13605867.969999999</v>
      </c>
      <c r="AJ805" s="30">
        <f>65104.21+2145.79+25930.46+34480.26+16235.2+24201.1+28505.74+27213.09</f>
        <v>223815.85</v>
      </c>
    </row>
    <row r="806" spans="1:36" ht="147" customHeight="1" x14ac:dyDescent="0.25">
      <c r="A806" s="6">
        <v>803</v>
      </c>
      <c r="B806" s="31">
        <v>127554</v>
      </c>
      <c r="C806" s="31">
        <v>596</v>
      </c>
      <c r="D806" s="177" t="s">
        <v>1172</v>
      </c>
      <c r="E806" s="82" t="s">
        <v>979</v>
      </c>
      <c r="F806" s="31" t="s">
        <v>1241</v>
      </c>
      <c r="G806" s="11" t="s">
        <v>1397</v>
      </c>
      <c r="H806" s="11" t="s">
        <v>1242</v>
      </c>
      <c r="I806" s="12" t="s">
        <v>2999</v>
      </c>
      <c r="J806" s="25">
        <v>43698</v>
      </c>
      <c r="K806" s="25">
        <v>45220</v>
      </c>
      <c r="L806" s="26">
        <f t="shared" si="287"/>
        <v>83.98386258328982</v>
      </c>
      <c r="M806" s="11" t="s">
        <v>136</v>
      </c>
      <c r="N806" s="11" t="s">
        <v>261</v>
      </c>
      <c r="O806" s="11" t="str">
        <f t="shared" ref="O806:Q808" si="294">O805</f>
        <v>Bucuresti</v>
      </c>
      <c r="P806" s="27" t="str">
        <f t="shared" si="294"/>
        <v>APC</v>
      </c>
      <c r="Q806" s="11" t="str">
        <f t="shared" si="294"/>
        <v>119 - Investiții în capacitatea instituțională și în eficiența administrațiilor și a serviciilor publice la nivel național, regional și local, în perspectiva realizării de reforme, a unei mai bune legiferări și a bunei guvernanțe</v>
      </c>
      <c r="R806" s="1">
        <f t="shared" si="289"/>
        <v>12098670.219999999</v>
      </c>
      <c r="S806" s="2">
        <v>9756523.4399999976</v>
      </c>
      <c r="T806" s="2">
        <v>2342146.7800000003</v>
      </c>
      <c r="U806" s="1">
        <f t="shared" si="290"/>
        <v>0</v>
      </c>
      <c r="V806" s="28">
        <v>0</v>
      </c>
      <c r="W806" s="28">
        <v>0</v>
      </c>
      <c r="X806" s="1">
        <f t="shared" si="291"/>
        <v>2307276.1700000004</v>
      </c>
      <c r="Y806" s="2">
        <v>1721739.4581900353</v>
      </c>
      <c r="Z806" s="2">
        <v>585536.71180996508</v>
      </c>
      <c r="AA806" s="2">
        <f t="shared" si="292"/>
        <v>0</v>
      </c>
      <c r="AB806" s="2">
        <v>0</v>
      </c>
      <c r="AC806" s="2">
        <v>0</v>
      </c>
      <c r="AD806" s="16">
        <f t="shared" si="283"/>
        <v>14405946.389999999</v>
      </c>
      <c r="AE806" s="2">
        <v>1695594.64</v>
      </c>
      <c r="AF806" s="2">
        <f t="shared" si="293"/>
        <v>16101541.029999999</v>
      </c>
      <c r="AG806" s="38" t="s">
        <v>486</v>
      </c>
      <c r="AH806" s="29" t="s">
        <v>2147</v>
      </c>
      <c r="AI806" s="30">
        <f>80134.03+50027.51+67034.24+81022.59+61634.92+75486.38+69076.73+1549860.73+77485.19+2317952.91+1477810.91</f>
        <v>5907526.1400000006</v>
      </c>
      <c r="AJ806" s="30">
        <v>0</v>
      </c>
    </row>
    <row r="807" spans="1:36" ht="225.75" customHeight="1" x14ac:dyDescent="0.25">
      <c r="A807" s="6">
        <v>804</v>
      </c>
      <c r="B807" s="31">
        <v>127585</v>
      </c>
      <c r="C807" s="31">
        <v>622</v>
      </c>
      <c r="D807" s="177" t="s">
        <v>1172</v>
      </c>
      <c r="E807" s="82" t="s">
        <v>979</v>
      </c>
      <c r="F807" s="31" t="s">
        <v>1246</v>
      </c>
      <c r="G807" s="11" t="s">
        <v>74</v>
      </c>
      <c r="H807" s="11" t="s">
        <v>1244</v>
      </c>
      <c r="I807" s="12" t="s">
        <v>3000</v>
      </c>
      <c r="J807" s="25">
        <v>43703</v>
      </c>
      <c r="K807" s="25">
        <v>45072</v>
      </c>
      <c r="L807" s="26">
        <f t="shared" si="287"/>
        <v>83.983863237881479</v>
      </c>
      <c r="M807" s="11" t="s">
        <v>136</v>
      </c>
      <c r="N807" s="11" t="s">
        <v>261</v>
      </c>
      <c r="O807" s="11" t="str">
        <f t="shared" si="294"/>
        <v>Bucuresti</v>
      </c>
      <c r="P807" s="27" t="str">
        <f t="shared" si="294"/>
        <v>APC</v>
      </c>
      <c r="Q807" s="11" t="str">
        <f t="shared" si="294"/>
        <v>119 - Investiții în capacitatea instituțională și în eficiența administrațiilor și a serviciilor publice la nivel național, regional și local, în perspectiva realizării de reforme, a unei mai bune legiferări și a bunei guvernanțe</v>
      </c>
      <c r="R807" s="1">
        <f t="shared" si="289"/>
        <v>8398187.4499999993</v>
      </c>
      <c r="S807" s="2">
        <v>6772406.5</v>
      </c>
      <c r="T807" s="2">
        <v>1625780.95</v>
      </c>
      <c r="U807" s="1">
        <f t="shared" si="290"/>
        <v>0</v>
      </c>
      <c r="V807" s="28">
        <v>0</v>
      </c>
      <c r="W807" s="28">
        <v>0</v>
      </c>
      <c r="X807" s="1">
        <f t="shared" si="291"/>
        <v>1601575.75</v>
      </c>
      <c r="Y807" s="2">
        <v>1195130.5</v>
      </c>
      <c r="Z807" s="2">
        <v>406445.25</v>
      </c>
      <c r="AA807" s="2">
        <f t="shared" si="292"/>
        <v>0</v>
      </c>
      <c r="AB807" s="2">
        <v>0</v>
      </c>
      <c r="AC807" s="2">
        <v>0</v>
      </c>
      <c r="AD807" s="16">
        <f t="shared" si="283"/>
        <v>9999763.1999999993</v>
      </c>
      <c r="AE807" s="2">
        <v>0</v>
      </c>
      <c r="AF807" s="2">
        <f t="shared" si="293"/>
        <v>9999763.1999999993</v>
      </c>
      <c r="AG807" s="38" t="s">
        <v>486</v>
      </c>
      <c r="AH807" s="29" t="s">
        <v>2215</v>
      </c>
      <c r="AI807" s="30">
        <f>843418.72+99611.58+70896.66+1618000.34+94625.46+120042.33+1345989.2+158992.5</f>
        <v>4351576.79</v>
      </c>
      <c r="AJ807" s="30">
        <v>0</v>
      </c>
    </row>
    <row r="808" spans="1:36" ht="125.25" customHeight="1" x14ac:dyDescent="0.25">
      <c r="A808" s="6">
        <v>805</v>
      </c>
      <c r="B808" s="31">
        <v>127829</v>
      </c>
      <c r="C808" s="31">
        <v>623</v>
      </c>
      <c r="D808" s="177" t="s">
        <v>1172</v>
      </c>
      <c r="E808" s="82" t="s">
        <v>979</v>
      </c>
      <c r="F808" s="31" t="s">
        <v>1245</v>
      </c>
      <c r="G808" s="11" t="s">
        <v>74</v>
      </c>
      <c r="H808" s="11" t="s">
        <v>1244</v>
      </c>
      <c r="I808" s="12" t="s">
        <v>3001</v>
      </c>
      <c r="J808" s="25">
        <v>43703</v>
      </c>
      <c r="K808" s="25">
        <v>45103</v>
      </c>
      <c r="L808" s="26">
        <f t="shared" si="287"/>
        <v>83.983862817782423</v>
      </c>
      <c r="M808" s="11" t="s">
        <v>136</v>
      </c>
      <c r="N808" s="11" t="s">
        <v>261</v>
      </c>
      <c r="O808" s="11" t="str">
        <f t="shared" si="294"/>
        <v>Bucuresti</v>
      </c>
      <c r="P808" s="27" t="str">
        <f t="shared" si="294"/>
        <v>APC</v>
      </c>
      <c r="Q808" s="11" t="str">
        <f t="shared" si="294"/>
        <v>119 - Investiții în capacitatea instituțională și în eficiența administrațiilor și a serviciilor publice la nivel național, regional și local, în perspectiva realizării de reforme, a unei mai bune legiferări și a bunei guvernanțe</v>
      </c>
      <c r="R808" s="1">
        <f t="shared" si="289"/>
        <v>8466572.7799999993</v>
      </c>
      <c r="S808" s="2">
        <v>6827553.2899999991</v>
      </c>
      <c r="T808" s="2">
        <v>1639019.49</v>
      </c>
      <c r="U808" s="1">
        <f t="shared" si="290"/>
        <v>0</v>
      </c>
      <c r="V808" s="28">
        <v>0</v>
      </c>
      <c r="W808" s="28">
        <v>0</v>
      </c>
      <c r="X808" s="1">
        <f t="shared" si="291"/>
        <v>1614617.2200000002</v>
      </c>
      <c r="Y808" s="2">
        <v>1204862.3500000001</v>
      </c>
      <c r="Z808" s="2">
        <v>409754.87</v>
      </c>
      <c r="AA808" s="2">
        <f t="shared" si="292"/>
        <v>0</v>
      </c>
      <c r="AB808" s="2">
        <v>0</v>
      </c>
      <c r="AC808" s="2">
        <v>0</v>
      </c>
      <c r="AD808" s="16">
        <f t="shared" si="283"/>
        <v>10081190</v>
      </c>
      <c r="AE808" s="2">
        <v>0</v>
      </c>
      <c r="AF808" s="2">
        <f t="shared" si="293"/>
        <v>10081190</v>
      </c>
      <c r="AG808" s="38" t="s">
        <v>486</v>
      </c>
      <c r="AH808" s="29" t="s">
        <v>2302</v>
      </c>
      <c r="AI808" s="30">
        <f>896890.75+82117.73+78530.79+85882.74+82790.45+74742.28+71123.41+1136625.84+63109.67+57900.15</f>
        <v>2629713.81</v>
      </c>
      <c r="AJ808" s="30">
        <v>0</v>
      </c>
    </row>
    <row r="809" spans="1:36" ht="199.5" customHeight="1" x14ac:dyDescent="0.25">
      <c r="A809" s="6">
        <v>806</v>
      </c>
      <c r="B809" s="31">
        <v>127591</v>
      </c>
      <c r="C809" s="31">
        <v>603</v>
      </c>
      <c r="D809" s="177" t="s">
        <v>1172</v>
      </c>
      <c r="E809" s="82" t="s">
        <v>979</v>
      </c>
      <c r="F809" s="31" t="s">
        <v>1247</v>
      </c>
      <c r="G809" s="11" t="s">
        <v>74</v>
      </c>
      <c r="H809" s="11" t="s">
        <v>1244</v>
      </c>
      <c r="I809" s="74" t="s">
        <v>3002</v>
      </c>
      <c r="J809" s="25">
        <v>43704</v>
      </c>
      <c r="K809" s="25">
        <v>45104</v>
      </c>
      <c r="L809" s="26">
        <f t="shared" si="287"/>
        <v>83.983862567441435</v>
      </c>
      <c r="M809" s="11" t="str">
        <f>$M$806</f>
        <v xml:space="preserve"> Proiect cu acoperire națională</v>
      </c>
      <c r="N809" s="11" t="str">
        <f>N808</f>
        <v>București</v>
      </c>
      <c r="O809" s="11" t="s">
        <v>261</v>
      </c>
      <c r="P809" s="27" t="s">
        <v>138</v>
      </c>
      <c r="Q809" s="11" t="str">
        <f>Q808</f>
        <v>119 - Investiții în capacitatea instituțională și în eficiența administrațiilor și a serviciilor publice la nivel național, regional și local, în perspectiva realizării de reforme, a unei mai bune legiferări și a bunei guvernanțe</v>
      </c>
      <c r="R809" s="1">
        <f t="shared" si="289"/>
        <v>10242987.91</v>
      </c>
      <c r="S809" s="2">
        <v>8260077.3700000001</v>
      </c>
      <c r="T809" s="2">
        <v>1982910.54</v>
      </c>
      <c r="U809" s="1">
        <f t="shared" si="290"/>
        <v>0</v>
      </c>
      <c r="V809" s="28">
        <v>0</v>
      </c>
      <c r="W809" s="28">
        <v>0</v>
      </c>
      <c r="X809" s="1">
        <f t="shared" si="291"/>
        <v>1953388.39</v>
      </c>
      <c r="Y809" s="2">
        <v>1457660.69</v>
      </c>
      <c r="Z809" s="2">
        <v>495727.7</v>
      </c>
      <c r="AA809" s="2">
        <f t="shared" si="292"/>
        <v>0</v>
      </c>
      <c r="AB809" s="2">
        <v>0</v>
      </c>
      <c r="AC809" s="2">
        <v>0</v>
      </c>
      <c r="AD809" s="16">
        <f t="shared" si="283"/>
        <v>12196376.300000001</v>
      </c>
      <c r="AE809" s="2">
        <v>0</v>
      </c>
      <c r="AF809" s="2">
        <f t="shared" si="293"/>
        <v>12196376.300000001</v>
      </c>
      <c r="AG809" s="38" t="s">
        <v>486</v>
      </c>
      <c r="AH809" s="29" t="s">
        <v>1957</v>
      </c>
      <c r="AI809" s="30">
        <f>957032.98+163115.37+97608.31+132760.34+84328.34+73699.45+89390.33+85807.41+104934.01+770382.45</f>
        <v>2559058.9900000002</v>
      </c>
      <c r="AJ809" s="30">
        <v>0</v>
      </c>
    </row>
    <row r="810" spans="1:36" ht="283.5" x14ac:dyDescent="0.25">
      <c r="A810" s="6">
        <v>807</v>
      </c>
      <c r="B810" s="11">
        <v>130133</v>
      </c>
      <c r="C810" s="11">
        <v>749</v>
      </c>
      <c r="D810" s="32" t="s">
        <v>146</v>
      </c>
      <c r="E810" s="24" t="s">
        <v>1168</v>
      </c>
      <c r="F810" s="11" t="s">
        <v>1248</v>
      </c>
      <c r="G810" s="11" t="s">
        <v>1720</v>
      </c>
      <c r="H810" s="8" t="s">
        <v>151</v>
      </c>
      <c r="I810" s="12" t="s">
        <v>1249</v>
      </c>
      <c r="J810" s="25">
        <v>43706</v>
      </c>
      <c r="K810" s="25">
        <v>45289</v>
      </c>
      <c r="L810" s="26">
        <f t="shared" si="287"/>
        <v>83.983862860370238</v>
      </c>
      <c r="M810" s="11" t="str">
        <f>$M$806</f>
        <v xml:space="preserve"> Proiect cu acoperire națională</v>
      </c>
      <c r="N810" s="11" t="str">
        <f>N809</f>
        <v>București</v>
      </c>
      <c r="O810" s="11" t="s">
        <v>261</v>
      </c>
      <c r="P810" s="27" t="s">
        <v>138</v>
      </c>
      <c r="Q810" s="11" t="s">
        <v>34</v>
      </c>
      <c r="R810" s="1">
        <f t="shared" si="289"/>
        <v>14452256.49</v>
      </c>
      <c r="S810" s="2">
        <v>11654485.75</v>
      </c>
      <c r="T810" s="2">
        <v>2797770.7399999998</v>
      </c>
      <c r="U810" s="1">
        <f t="shared" si="290"/>
        <v>0</v>
      </c>
      <c r="V810" s="28">
        <v>0</v>
      </c>
      <c r="W810" s="28">
        <v>0</v>
      </c>
      <c r="X810" s="1">
        <f t="shared" si="291"/>
        <v>2756116.6399999997</v>
      </c>
      <c r="Y810" s="2">
        <v>2056673.9</v>
      </c>
      <c r="Z810" s="2">
        <v>699442.74</v>
      </c>
      <c r="AA810" s="2">
        <f t="shared" si="292"/>
        <v>0</v>
      </c>
      <c r="AB810" s="2">
        <v>0</v>
      </c>
      <c r="AC810" s="2">
        <v>0</v>
      </c>
      <c r="AD810" s="16">
        <f t="shared" si="283"/>
        <v>17208373.129999999</v>
      </c>
      <c r="AE810" s="2">
        <v>0</v>
      </c>
      <c r="AF810" s="2">
        <f t="shared" si="293"/>
        <v>17208373.129999999</v>
      </c>
      <c r="AG810" s="38" t="s">
        <v>486</v>
      </c>
      <c r="AH810" s="29" t="s">
        <v>2483</v>
      </c>
      <c r="AI810" s="30">
        <f>37986.75+105892.72+115179.78+20592+17345.19+35012.87+1016292.08</f>
        <v>1348301.39</v>
      </c>
      <c r="AJ810" s="30">
        <v>0</v>
      </c>
    </row>
    <row r="811" spans="1:36" ht="141.75" x14ac:dyDescent="0.25">
      <c r="A811" s="6">
        <v>808</v>
      </c>
      <c r="B811" s="11">
        <v>127338</v>
      </c>
      <c r="C811" s="11">
        <v>612</v>
      </c>
      <c r="D811" s="177" t="s">
        <v>1172</v>
      </c>
      <c r="E811" s="24" t="s">
        <v>979</v>
      </c>
      <c r="F811" s="11" t="s">
        <v>1261</v>
      </c>
      <c r="G811" s="11" t="s">
        <v>74</v>
      </c>
      <c r="H811" s="11" t="s">
        <v>1262</v>
      </c>
      <c r="I811" s="12" t="s">
        <v>3003</v>
      </c>
      <c r="J811" s="25">
        <v>43713</v>
      </c>
      <c r="K811" s="25">
        <v>44900</v>
      </c>
      <c r="L811" s="26">
        <f t="shared" si="287"/>
        <v>83.983864644186056</v>
      </c>
      <c r="M811" s="11" t="str">
        <f>$M$806</f>
        <v xml:space="preserve"> Proiect cu acoperire națională</v>
      </c>
      <c r="N811" s="11" t="s">
        <v>1226</v>
      </c>
      <c r="O811" s="11" t="s">
        <v>261</v>
      </c>
      <c r="P811" s="27" t="s">
        <v>138</v>
      </c>
      <c r="Q811" s="11" t="str">
        <f t="shared" ref="Q811:Q816" si="295">Q810</f>
        <v>119 - Investiții în capacitatea instituțională și în eficiența administrațiilor și a serviciilor publice la nivel național, regional și local, în perspectiva realizării de reforme, a unei mai bune legiferări și a bunei guvernanțe</v>
      </c>
      <c r="R811" s="1">
        <f t="shared" si="289"/>
        <v>12284259.010000002</v>
      </c>
      <c r="S811" s="2">
        <v>9906184.6600000001</v>
      </c>
      <c r="T811" s="2">
        <v>2378074.350000001</v>
      </c>
      <c r="U811" s="1">
        <f t="shared" si="290"/>
        <v>0</v>
      </c>
      <c r="V811" s="28">
        <v>0</v>
      </c>
      <c r="W811" s="28">
        <v>0</v>
      </c>
      <c r="X811" s="1">
        <f t="shared" si="291"/>
        <v>2342668.5099999998</v>
      </c>
      <c r="Y811" s="2">
        <v>1748149.94</v>
      </c>
      <c r="Z811" s="2">
        <v>594518.56999999995</v>
      </c>
      <c r="AA811" s="2">
        <f t="shared" si="292"/>
        <v>0</v>
      </c>
      <c r="AB811" s="2">
        <v>0</v>
      </c>
      <c r="AC811" s="2">
        <v>0</v>
      </c>
      <c r="AD811" s="16">
        <f t="shared" si="283"/>
        <v>14626927.520000001</v>
      </c>
      <c r="AE811" s="2">
        <v>21875.91</v>
      </c>
      <c r="AF811" s="2">
        <f t="shared" si="293"/>
        <v>14648803.430000002</v>
      </c>
      <c r="AG811" s="38" t="s">
        <v>486</v>
      </c>
      <c r="AH811" s="29" t="s">
        <v>1991</v>
      </c>
      <c r="AI811" s="30">
        <f>1028311.33+949836.08+860711.02+870883.46+943630.7+1231127.96+694760.56+276496.74+2783338.05</f>
        <v>9639095.8999999985</v>
      </c>
      <c r="AJ811" s="30">
        <v>0</v>
      </c>
    </row>
    <row r="812" spans="1:36" ht="199.5" customHeight="1" x14ac:dyDescent="0.25">
      <c r="A812" s="6">
        <v>809</v>
      </c>
      <c r="B812" s="31">
        <v>129692</v>
      </c>
      <c r="C812" s="31">
        <v>744</v>
      </c>
      <c r="D812" s="32" t="str">
        <f>D811</f>
        <v xml:space="preserve">AP1/11i /1.1 </v>
      </c>
      <c r="E812" s="56" t="s">
        <v>1056</v>
      </c>
      <c r="F812" s="31" t="s">
        <v>1270</v>
      </c>
      <c r="G812" s="11" t="s">
        <v>1268</v>
      </c>
      <c r="H812" s="8" t="s">
        <v>151</v>
      </c>
      <c r="I812" s="74" t="s">
        <v>3004</v>
      </c>
      <c r="J812" s="25">
        <v>43717</v>
      </c>
      <c r="K812" s="25">
        <v>45178</v>
      </c>
      <c r="L812" s="26">
        <f t="shared" si="287"/>
        <v>83.983862991493012</v>
      </c>
      <c r="M812" s="11" t="str">
        <f>$M$806</f>
        <v xml:space="preserve"> Proiect cu acoperire națională</v>
      </c>
      <c r="N812" s="11" t="str">
        <f>N811</f>
        <v>Național</v>
      </c>
      <c r="O812" s="11" t="str">
        <f>O811</f>
        <v>București</v>
      </c>
      <c r="P812" s="27" t="str">
        <f>P811</f>
        <v>APC</v>
      </c>
      <c r="Q812" s="11" t="str">
        <f t="shared" si="295"/>
        <v>119 - Investiții în capacitatea instituțională și în eficiența administrațiilor și a serviciilor publice la nivel național, regional și local, în perspectiva realizării de reforme, a unei mai bune legiferări și a bunei guvernanțe</v>
      </c>
      <c r="R812" s="1">
        <f t="shared" si="289"/>
        <v>25123266.25</v>
      </c>
      <c r="S812" s="2">
        <v>20259725.329999998</v>
      </c>
      <c r="T812" s="2">
        <v>4863540.92</v>
      </c>
      <c r="U812" s="1">
        <f t="shared" si="290"/>
        <v>0</v>
      </c>
      <c r="V812" s="28">
        <v>0</v>
      </c>
      <c r="W812" s="28">
        <v>0</v>
      </c>
      <c r="X812" s="1">
        <f t="shared" si="291"/>
        <v>4791130.82</v>
      </c>
      <c r="Y812" s="2">
        <v>3575245.64</v>
      </c>
      <c r="Z812" s="2">
        <v>1215885.18</v>
      </c>
      <c r="AA812" s="2">
        <f t="shared" si="292"/>
        <v>0</v>
      </c>
      <c r="AB812" s="2">
        <v>0</v>
      </c>
      <c r="AC812" s="2">
        <v>0</v>
      </c>
      <c r="AD812" s="16">
        <f t="shared" si="283"/>
        <v>29914397.07</v>
      </c>
      <c r="AE812" s="2">
        <v>0</v>
      </c>
      <c r="AF812" s="2">
        <f t="shared" si="293"/>
        <v>29914397.07</v>
      </c>
      <c r="AG812" s="38" t="s">
        <v>486</v>
      </c>
      <c r="AH812" s="29" t="s">
        <v>1773</v>
      </c>
      <c r="AI812" s="30">
        <f>325855.8+122978.47+248682.94+393955.11+295791.58+258150.44+1461160.49+1088779.79+977969.43+1273774.33</f>
        <v>6447098.3799999999</v>
      </c>
      <c r="AJ812" s="30">
        <v>0</v>
      </c>
    </row>
    <row r="813" spans="1:36" ht="141.75" x14ac:dyDescent="0.25">
      <c r="A813" s="6">
        <v>810</v>
      </c>
      <c r="B813" s="11">
        <v>127589</v>
      </c>
      <c r="C813" s="11">
        <v>616</v>
      </c>
      <c r="D813" s="177" t="s">
        <v>1172</v>
      </c>
      <c r="E813" s="24" t="s">
        <v>979</v>
      </c>
      <c r="F813" s="11" t="s">
        <v>1272</v>
      </c>
      <c r="G813" s="11" t="s">
        <v>74</v>
      </c>
      <c r="H813" s="11" t="s">
        <v>1363</v>
      </c>
      <c r="I813" s="12" t="s">
        <v>1273</v>
      </c>
      <c r="J813" s="25">
        <v>43718</v>
      </c>
      <c r="K813" s="25">
        <v>45240</v>
      </c>
      <c r="L813" s="26">
        <f t="shared" si="287"/>
        <v>83.401732277714686</v>
      </c>
      <c r="M813" s="11" t="s">
        <v>136</v>
      </c>
      <c r="N813" s="11" t="s">
        <v>261</v>
      </c>
      <c r="O813" s="11" t="s">
        <v>261</v>
      </c>
      <c r="P813" s="27" t="s">
        <v>138</v>
      </c>
      <c r="Q813" s="11" t="str">
        <f t="shared" si="295"/>
        <v>119 - Investiții în capacitatea instituțională și în eficiența administrațiilor și a serviciilor publice la nivel național, regional și local, în perspectiva realizării de reforme, a unei mai bune legiferări și a bunei guvernanțe</v>
      </c>
      <c r="R813" s="1">
        <f t="shared" si="289"/>
        <v>23893894.079999994</v>
      </c>
      <c r="S813" s="2">
        <v>19268343.719999995</v>
      </c>
      <c r="T813" s="2">
        <v>4625550.3599999994</v>
      </c>
      <c r="U813" s="1">
        <f t="shared" si="290"/>
        <v>1558441.7799999998</v>
      </c>
      <c r="V813" s="28">
        <v>1162942.9799999995</v>
      </c>
      <c r="W813" s="28">
        <v>395498.80000000016</v>
      </c>
      <c r="X813" s="1">
        <f t="shared" si="291"/>
        <v>2998241.61</v>
      </c>
      <c r="Y813" s="2">
        <v>2237352.88</v>
      </c>
      <c r="Z813" s="2">
        <v>760888.73</v>
      </c>
      <c r="AA813" s="2">
        <f t="shared" si="292"/>
        <v>198580.56</v>
      </c>
      <c r="AB813" s="2">
        <v>158223.64000000001</v>
      </c>
      <c r="AC813" s="2">
        <v>40356.92</v>
      </c>
      <c r="AD813" s="16">
        <f t="shared" si="283"/>
        <v>28649158.029999994</v>
      </c>
      <c r="AE813" s="2">
        <v>0</v>
      </c>
      <c r="AF813" s="2">
        <f t="shared" si="293"/>
        <v>28649158.029999994</v>
      </c>
      <c r="AG813" s="38" t="s">
        <v>486</v>
      </c>
      <c r="AH813" s="29" t="s">
        <v>2053</v>
      </c>
      <c r="AI813" s="30">
        <f>2152401.31+483787.51+353759.62+893871.24+50810.75+755211.17+44698.53+53299.38+709727.23+52393.71+46175.45-93720.91+424014.59+106929.83-8668.64+94767.14+195327.48</f>
        <v>6314785.3900000006</v>
      </c>
      <c r="AJ813" s="30">
        <f>236264.83+60776.2+75412.76+115828.22+72195.19+74114.75+54873.1+45967.95+24151.87+8668.64+12040.91+9294.66</f>
        <v>789589.08</v>
      </c>
    </row>
    <row r="814" spans="1:36" ht="165.75" customHeight="1" x14ac:dyDescent="0.25">
      <c r="A814" s="6">
        <v>811</v>
      </c>
      <c r="B814" s="31">
        <v>127012</v>
      </c>
      <c r="C814" s="31">
        <v>578</v>
      </c>
      <c r="D814" s="177" t="s">
        <v>1172</v>
      </c>
      <c r="E814" s="24" t="s">
        <v>979</v>
      </c>
      <c r="F814" s="31" t="s">
        <v>1275</v>
      </c>
      <c r="G814" s="11" t="s">
        <v>1721</v>
      </c>
      <c r="H814" s="8" t="s">
        <v>151</v>
      </c>
      <c r="I814" s="12" t="s">
        <v>3005</v>
      </c>
      <c r="J814" s="25">
        <v>43721</v>
      </c>
      <c r="K814" s="25">
        <v>45212</v>
      </c>
      <c r="L814" s="26">
        <f t="shared" si="287"/>
        <v>83.983862941143158</v>
      </c>
      <c r="M814" s="11" t="s">
        <v>136</v>
      </c>
      <c r="N814" s="11" t="s">
        <v>261</v>
      </c>
      <c r="O814" s="11" t="s">
        <v>261</v>
      </c>
      <c r="P814" s="27" t="s">
        <v>138</v>
      </c>
      <c r="Q814" s="11" t="str">
        <f t="shared" si="295"/>
        <v>119 - Investiții în capacitatea instituțională și în eficiența administrațiilor și a serviciilor publice la nivel național, regional și local, în perspectiva realizării de reforme, a unei mai bune legiferări și a bunei guvernanțe</v>
      </c>
      <c r="R814" s="1">
        <f t="shared" si="289"/>
        <v>20491271.690000005</v>
      </c>
      <c r="S814" s="2">
        <v>16524425.330000004</v>
      </c>
      <c r="T814" s="2">
        <v>3966846.3600000017</v>
      </c>
      <c r="U814" s="1">
        <f t="shared" si="290"/>
        <v>0</v>
      </c>
      <c r="V814" s="28">
        <v>0</v>
      </c>
      <c r="W814" s="28">
        <v>0</v>
      </c>
      <c r="X814" s="1">
        <f t="shared" si="291"/>
        <v>3907786.6199999996</v>
      </c>
      <c r="Y814" s="2">
        <v>2916075.01</v>
      </c>
      <c r="Z814" s="2">
        <v>991711.61</v>
      </c>
      <c r="AA814" s="2">
        <f t="shared" si="292"/>
        <v>0</v>
      </c>
      <c r="AB814" s="2">
        <v>0</v>
      </c>
      <c r="AC814" s="2">
        <v>0</v>
      </c>
      <c r="AD814" s="16">
        <f t="shared" si="283"/>
        <v>24399058.310000006</v>
      </c>
      <c r="AE814" s="2">
        <v>0</v>
      </c>
      <c r="AF814" s="2">
        <f t="shared" si="293"/>
        <v>24399058.310000006</v>
      </c>
      <c r="AG814" s="38" t="s">
        <v>486</v>
      </c>
      <c r="AH814" s="29" t="s">
        <v>1808</v>
      </c>
      <c r="AI814" s="30">
        <f>83445.38+49015.23+231678.74+181337.75+178679+229588.02+193488.99+134446.28</f>
        <v>1281679.3899999999</v>
      </c>
      <c r="AJ814" s="30">
        <v>0</v>
      </c>
    </row>
    <row r="815" spans="1:36" ht="220.5" x14ac:dyDescent="0.25">
      <c r="A815" s="6">
        <v>812</v>
      </c>
      <c r="B815" s="31">
        <v>126983</v>
      </c>
      <c r="C815" s="31">
        <v>589</v>
      </c>
      <c r="D815" s="177" t="s">
        <v>1172</v>
      </c>
      <c r="E815" s="24" t="s">
        <v>979</v>
      </c>
      <c r="F815" s="31" t="s">
        <v>1276</v>
      </c>
      <c r="G815" s="11" t="s">
        <v>1721</v>
      </c>
      <c r="H815" s="8" t="s">
        <v>151</v>
      </c>
      <c r="I815" s="12" t="s">
        <v>3006</v>
      </c>
      <c r="J815" s="25">
        <v>43721</v>
      </c>
      <c r="K815" s="25">
        <v>45273</v>
      </c>
      <c r="L815" s="26">
        <f t="shared" si="287"/>
        <v>83.98386291043002</v>
      </c>
      <c r="M815" s="11" t="s">
        <v>136</v>
      </c>
      <c r="N815" s="11" t="s">
        <v>261</v>
      </c>
      <c r="O815" s="11" t="s">
        <v>261</v>
      </c>
      <c r="P815" s="27" t="s">
        <v>138</v>
      </c>
      <c r="Q815" s="11" t="str">
        <f t="shared" si="295"/>
        <v>119 - Investiții în capacitatea instituțională și în eficiența administrațiilor și a serviciilor publice la nivel național, regional și local, în perspectiva realizării de reforme, a unei mai bune legiferări și a bunei guvernanțe</v>
      </c>
      <c r="R815" s="1">
        <f t="shared" si="289"/>
        <v>23507069.850000001</v>
      </c>
      <c r="S815" s="2">
        <v>18956403.780000001</v>
      </c>
      <c r="T815" s="2">
        <v>4550666.07</v>
      </c>
      <c r="U815" s="1">
        <f t="shared" si="290"/>
        <v>0</v>
      </c>
      <c r="V815" s="28">
        <v>0</v>
      </c>
      <c r="W815" s="28">
        <v>0</v>
      </c>
      <c r="X815" s="1">
        <f t="shared" si="291"/>
        <v>4482914.2200000007</v>
      </c>
      <c r="Y815" s="2">
        <v>3345247.7</v>
      </c>
      <c r="Z815" s="2">
        <v>1137666.52</v>
      </c>
      <c r="AA815" s="2">
        <f t="shared" si="292"/>
        <v>0</v>
      </c>
      <c r="AB815" s="2">
        <v>0</v>
      </c>
      <c r="AC815" s="2">
        <v>0</v>
      </c>
      <c r="AD815" s="16">
        <f t="shared" si="283"/>
        <v>27989984.07</v>
      </c>
      <c r="AE815" s="2">
        <v>0</v>
      </c>
      <c r="AF815" s="2">
        <f t="shared" si="293"/>
        <v>27989984.07</v>
      </c>
      <c r="AG815" s="38" t="s">
        <v>486</v>
      </c>
      <c r="AH815" s="29" t="s">
        <v>3229</v>
      </c>
      <c r="AI815" s="30">
        <f>97834.07+41661.72+181197.51+74487.22+125076.44+181886.92+206065.32+283886.9+258726.7+470859.71+243498.04</f>
        <v>2165180.5499999998</v>
      </c>
      <c r="AJ815" s="30">
        <v>0</v>
      </c>
    </row>
    <row r="816" spans="1:36" ht="267.75" x14ac:dyDescent="0.25">
      <c r="A816" s="6">
        <v>813</v>
      </c>
      <c r="B816" s="31">
        <v>127577</v>
      </c>
      <c r="C816" s="31">
        <v>598</v>
      </c>
      <c r="D816" s="177" t="s">
        <v>1172</v>
      </c>
      <c r="E816" s="24" t="s">
        <v>979</v>
      </c>
      <c r="F816" s="31" t="s">
        <v>1283</v>
      </c>
      <c r="G816" s="11" t="s">
        <v>1408</v>
      </c>
      <c r="H816" s="11" t="s">
        <v>1781</v>
      </c>
      <c r="I816" s="12" t="s">
        <v>3007</v>
      </c>
      <c r="J816" s="25">
        <v>43725</v>
      </c>
      <c r="K816" s="25">
        <v>45002</v>
      </c>
      <c r="L816" s="26">
        <f t="shared" si="287"/>
        <v>83.983862550080687</v>
      </c>
      <c r="M816" s="11" t="s">
        <v>136</v>
      </c>
      <c r="N816" s="11" t="s">
        <v>261</v>
      </c>
      <c r="O816" s="11" t="s">
        <v>261</v>
      </c>
      <c r="P816" s="27" t="s">
        <v>138</v>
      </c>
      <c r="Q816" s="11" t="str">
        <f t="shared" si="295"/>
        <v>119 - Investiții în capacitatea instituțională și în eficiența administrațiilor și a serviciilor publice la nivel național, regional și local, în perspectiva realizării de reforme, a unei mai bune legiferări și a bunei guvernanțe</v>
      </c>
      <c r="R816" s="1">
        <f t="shared" si="289"/>
        <v>23213481.23</v>
      </c>
      <c r="S816" s="2">
        <v>18719650.120000001</v>
      </c>
      <c r="T816" s="2">
        <v>4493831.1100000003</v>
      </c>
      <c r="U816" s="1">
        <f t="shared" si="290"/>
        <v>1733.94</v>
      </c>
      <c r="V816" s="28">
        <v>1281.4000000000001</v>
      </c>
      <c r="W816" s="28">
        <v>452.54</v>
      </c>
      <c r="X816" s="1">
        <f t="shared" si="291"/>
        <v>4425191.5999999996</v>
      </c>
      <c r="Y816" s="2">
        <v>3302186.36</v>
      </c>
      <c r="Z816" s="2">
        <v>1123005.24</v>
      </c>
      <c r="AA816" s="2">
        <f t="shared" si="292"/>
        <v>0</v>
      </c>
      <c r="AB816" s="2">
        <v>0</v>
      </c>
      <c r="AC816" s="2">
        <v>0</v>
      </c>
      <c r="AD816" s="16">
        <f t="shared" si="283"/>
        <v>27640406.770000003</v>
      </c>
      <c r="AE816" s="2">
        <v>0</v>
      </c>
      <c r="AF816" s="2">
        <f t="shared" si="293"/>
        <v>27640406.770000003</v>
      </c>
      <c r="AG816" s="38" t="s">
        <v>486</v>
      </c>
      <c r="AH816" s="29" t="s">
        <v>1780</v>
      </c>
      <c r="AI816" s="30">
        <f>1727422.58+344989.77+329947.4+388845.27+1830766.08+207011.77+1398634.92+988731.07+1848077.04+544836.2+1345045.71+2268173.85</f>
        <v>13222481.659999998</v>
      </c>
      <c r="AJ816" s="30">
        <f>203.79+970.06+560.08</f>
        <v>1733.9299999999998</v>
      </c>
    </row>
    <row r="817" spans="1:36" ht="154.5" customHeight="1" x14ac:dyDescent="0.25">
      <c r="A817" s="6">
        <v>814</v>
      </c>
      <c r="B817" s="31">
        <v>130074</v>
      </c>
      <c r="C817" s="31">
        <v>714</v>
      </c>
      <c r="D817" s="177" t="s">
        <v>143</v>
      </c>
      <c r="E817" s="82" t="s">
        <v>1056</v>
      </c>
      <c r="F817" s="31" t="s">
        <v>1289</v>
      </c>
      <c r="G817" s="11" t="s">
        <v>1288</v>
      </c>
      <c r="H817" s="8" t="s">
        <v>151</v>
      </c>
      <c r="I817" s="12" t="s">
        <v>1290</v>
      </c>
      <c r="J817" s="25">
        <v>43734</v>
      </c>
      <c r="K817" s="25">
        <v>44891</v>
      </c>
      <c r="L817" s="26">
        <f t="shared" si="287"/>
        <v>83.983862788054537</v>
      </c>
      <c r="M817" s="11" t="s">
        <v>136</v>
      </c>
      <c r="N817" s="11" t="s">
        <v>261</v>
      </c>
      <c r="O817" s="11" t="s">
        <v>261</v>
      </c>
      <c r="P817" s="27" t="s">
        <v>138</v>
      </c>
      <c r="Q817" s="11" t="s">
        <v>34</v>
      </c>
      <c r="R817" s="1">
        <f t="shared" si="289"/>
        <v>12261622.399999999</v>
      </c>
      <c r="S817" s="2">
        <v>9887930.1899999995</v>
      </c>
      <c r="T817" s="2">
        <v>2373692.21</v>
      </c>
      <c r="U817" s="1">
        <f t="shared" si="290"/>
        <v>0</v>
      </c>
      <c r="V817" s="28">
        <v>0</v>
      </c>
      <c r="W817" s="28">
        <v>0</v>
      </c>
      <c r="X817" s="1">
        <f t="shared" si="291"/>
        <v>2338351.92</v>
      </c>
      <c r="Y817" s="2">
        <v>1744928.84</v>
      </c>
      <c r="Z817" s="2">
        <v>593423.07999999996</v>
      </c>
      <c r="AA817" s="2">
        <f t="shared" si="292"/>
        <v>0</v>
      </c>
      <c r="AB817" s="2">
        <v>0</v>
      </c>
      <c r="AC817" s="2">
        <v>0</v>
      </c>
      <c r="AD817" s="16">
        <f t="shared" si="283"/>
        <v>14599974.319999998</v>
      </c>
      <c r="AE817" s="2">
        <v>0</v>
      </c>
      <c r="AF817" s="2">
        <f t="shared" si="293"/>
        <v>14599974.319999998</v>
      </c>
      <c r="AG817" s="38" t="s">
        <v>486</v>
      </c>
      <c r="AH817" s="29" t="s">
        <v>1778</v>
      </c>
      <c r="AI817" s="30">
        <f>129003.07+125869.89+139505.98+45662.87+89628.42+46385.45+5847342.87+738052.2</f>
        <v>7161450.75</v>
      </c>
      <c r="AJ817" s="30">
        <v>0</v>
      </c>
    </row>
    <row r="818" spans="1:36" ht="199.5" customHeight="1" x14ac:dyDescent="0.25">
      <c r="A818" s="6">
        <v>815</v>
      </c>
      <c r="B818" s="31">
        <v>129720</v>
      </c>
      <c r="C818" s="31">
        <v>711</v>
      </c>
      <c r="D818" s="177" t="s">
        <v>143</v>
      </c>
      <c r="E818" s="82" t="s">
        <v>1056</v>
      </c>
      <c r="F818" s="31" t="s">
        <v>1293</v>
      </c>
      <c r="G818" s="27" t="s">
        <v>1717</v>
      </c>
      <c r="H818" s="8" t="s">
        <v>151</v>
      </c>
      <c r="I818" s="74" t="s">
        <v>3008</v>
      </c>
      <c r="J818" s="25">
        <v>43735</v>
      </c>
      <c r="K818" s="25">
        <v>44466</v>
      </c>
      <c r="L818" s="26">
        <f t="shared" si="287"/>
        <v>83.983862799999997</v>
      </c>
      <c r="M818" s="11" t="s">
        <v>136</v>
      </c>
      <c r="N818" s="11" t="s">
        <v>261</v>
      </c>
      <c r="O818" s="11" t="s">
        <v>261</v>
      </c>
      <c r="P818" s="27" t="s">
        <v>138</v>
      </c>
      <c r="Q818" s="11" t="s">
        <v>34</v>
      </c>
      <c r="R818" s="1">
        <f t="shared" si="289"/>
        <v>16796772.560000002</v>
      </c>
      <c r="S818" s="2">
        <v>13545133.640000001</v>
      </c>
      <c r="T818" s="2">
        <v>3251638.92</v>
      </c>
      <c r="U818" s="1">
        <f t="shared" si="290"/>
        <v>0</v>
      </c>
      <c r="V818" s="28">
        <v>0</v>
      </c>
      <c r="W818" s="28">
        <v>0</v>
      </c>
      <c r="X818" s="1">
        <f t="shared" si="291"/>
        <v>3203227.4400000004</v>
      </c>
      <c r="Y818" s="2">
        <v>2390317.7200000002</v>
      </c>
      <c r="Z818" s="2">
        <v>812909.72</v>
      </c>
      <c r="AA818" s="2">
        <f t="shared" si="292"/>
        <v>0</v>
      </c>
      <c r="AB818" s="2">
        <v>0</v>
      </c>
      <c r="AC818" s="2">
        <v>0</v>
      </c>
      <c r="AD818" s="16">
        <f t="shared" si="283"/>
        <v>20000000.000000004</v>
      </c>
      <c r="AE818" s="2">
        <v>3531910</v>
      </c>
      <c r="AF818" s="2">
        <f t="shared" si="293"/>
        <v>23531910.000000004</v>
      </c>
      <c r="AG818" s="38" t="s">
        <v>857</v>
      </c>
      <c r="AH818" s="29">
        <v>43818</v>
      </c>
      <c r="AI818" s="30">
        <f>1613109.94+68979.3+76801.57+2714837.16+50659.91+3563538.61+7956506.3</f>
        <v>16044432.789999999</v>
      </c>
      <c r="AJ818" s="30">
        <v>0</v>
      </c>
    </row>
    <row r="819" spans="1:36" ht="199.5" customHeight="1" x14ac:dyDescent="0.25">
      <c r="A819" s="6">
        <v>816</v>
      </c>
      <c r="B819" s="31">
        <v>129934</v>
      </c>
      <c r="C819" s="31">
        <v>717</v>
      </c>
      <c r="D819" s="177" t="s">
        <v>143</v>
      </c>
      <c r="E819" s="82" t="s">
        <v>1056</v>
      </c>
      <c r="F819" s="31" t="s">
        <v>1294</v>
      </c>
      <c r="G819" s="11" t="s">
        <v>1718</v>
      </c>
      <c r="H819" s="8" t="s">
        <v>151</v>
      </c>
      <c r="I819" s="74" t="s">
        <v>3009</v>
      </c>
      <c r="J819" s="25">
        <v>43735</v>
      </c>
      <c r="K819" s="25">
        <v>45287</v>
      </c>
      <c r="L819" s="26">
        <f t="shared" si="287"/>
        <v>83.98386317938558</v>
      </c>
      <c r="M819" s="11" t="s">
        <v>136</v>
      </c>
      <c r="N819" s="11" t="s">
        <v>261</v>
      </c>
      <c r="O819" s="11" t="s">
        <v>261</v>
      </c>
      <c r="P819" s="27" t="s">
        <v>138</v>
      </c>
      <c r="Q819" s="11" t="s">
        <v>34</v>
      </c>
      <c r="R819" s="1">
        <f t="shared" si="289"/>
        <v>11458830.090000002</v>
      </c>
      <c r="S819" s="2">
        <v>9240548.1100000013</v>
      </c>
      <c r="T819" s="2">
        <v>2218281.98</v>
      </c>
      <c r="U819" s="1">
        <f t="shared" si="290"/>
        <v>0</v>
      </c>
      <c r="V819" s="28">
        <v>0</v>
      </c>
      <c r="W819" s="28">
        <v>0</v>
      </c>
      <c r="X819" s="1">
        <f t="shared" si="291"/>
        <v>2185255.4</v>
      </c>
      <c r="Y819" s="2">
        <v>1630684.92</v>
      </c>
      <c r="Z819" s="2">
        <v>554570.48</v>
      </c>
      <c r="AA819" s="2">
        <f t="shared" si="292"/>
        <v>0</v>
      </c>
      <c r="AB819" s="2">
        <v>0</v>
      </c>
      <c r="AC819" s="2">
        <v>0</v>
      </c>
      <c r="AD819" s="16">
        <f t="shared" si="283"/>
        <v>13644085.490000002</v>
      </c>
      <c r="AE819" s="2">
        <v>0</v>
      </c>
      <c r="AF819" s="2">
        <f t="shared" si="293"/>
        <v>13644085.490000002</v>
      </c>
      <c r="AG819" s="38" t="s">
        <v>486</v>
      </c>
      <c r="AH819" s="29" t="s">
        <v>2372</v>
      </c>
      <c r="AI819" s="30">
        <f>141791.63+434317.17+736075.72</f>
        <v>1312184.52</v>
      </c>
      <c r="AJ819" s="30">
        <v>0</v>
      </c>
    </row>
    <row r="820" spans="1:36" ht="199.5" customHeight="1" x14ac:dyDescent="0.25">
      <c r="A820" s="6">
        <v>817</v>
      </c>
      <c r="B820" s="31">
        <v>129864</v>
      </c>
      <c r="C820" s="31">
        <v>712</v>
      </c>
      <c r="D820" s="177" t="s">
        <v>143</v>
      </c>
      <c r="E820" s="82" t="s">
        <v>1056</v>
      </c>
      <c r="F820" s="31" t="s">
        <v>1295</v>
      </c>
      <c r="G820" s="11" t="s">
        <v>703</v>
      </c>
      <c r="H820" s="8" t="s">
        <v>151</v>
      </c>
      <c r="I820" s="74" t="s">
        <v>3010</v>
      </c>
      <c r="J820" s="25">
        <v>43739</v>
      </c>
      <c r="K820" s="25">
        <v>44835</v>
      </c>
      <c r="L820" s="26">
        <f t="shared" si="287"/>
        <v>83.983862937437522</v>
      </c>
      <c r="M820" s="11" t="s">
        <v>136</v>
      </c>
      <c r="N820" s="11" t="s">
        <v>261</v>
      </c>
      <c r="O820" s="11" t="s">
        <v>261</v>
      </c>
      <c r="P820" s="27" t="s">
        <v>138</v>
      </c>
      <c r="Q820" s="11" t="s">
        <v>34</v>
      </c>
      <c r="R820" s="1">
        <f t="shared" si="289"/>
        <v>12555454</v>
      </c>
      <c r="S820" s="2">
        <v>10124879.76</v>
      </c>
      <c r="T820" s="2">
        <v>2430574.2399999998</v>
      </c>
      <c r="U820" s="1">
        <f t="shared" si="290"/>
        <v>0</v>
      </c>
      <c r="V820" s="28">
        <v>0</v>
      </c>
      <c r="W820" s="28">
        <v>0</v>
      </c>
      <c r="X820" s="1">
        <f t="shared" si="291"/>
        <v>2394387.0300000003</v>
      </c>
      <c r="Y820" s="2">
        <v>1786743.47</v>
      </c>
      <c r="Z820" s="2">
        <v>607643.56000000006</v>
      </c>
      <c r="AA820" s="2">
        <f t="shared" si="292"/>
        <v>0</v>
      </c>
      <c r="AB820" s="2">
        <v>0</v>
      </c>
      <c r="AC820" s="2">
        <v>0</v>
      </c>
      <c r="AD820" s="16">
        <f t="shared" si="283"/>
        <v>14949841.030000001</v>
      </c>
      <c r="AE820" s="2">
        <v>0</v>
      </c>
      <c r="AF820" s="2">
        <f t="shared" si="293"/>
        <v>14949841.030000001</v>
      </c>
      <c r="AG820" s="38" t="s">
        <v>857</v>
      </c>
      <c r="AH820" s="29" t="s">
        <v>2539</v>
      </c>
      <c r="AI820" s="30">
        <f>211446.04+244710.21+134219.36+266917.51+171701.65+6233688.03+2111792.04</f>
        <v>9374474.8399999999</v>
      </c>
      <c r="AJ820" s="30">
        <v>0</v>
      </c>
    </row>
    <row r="821" spans="1:36" ht="199.5" customHeight="1" x14ac:dyDescent="0.25">
      <c r="A821" s="6">
        <v>818</v>
      </c>
      <c r="B821" s="31">
        <v>129721</v>
      </c>
      <c r="C821" s="31">
        <v>708</v>
      </c>
      <c r="D821" s="177" t="s">
        <v>143</v>
      </c>
      <c r="E821" s="82" t="s">
        <v>1056</v>
      </c>
      <c r="F821" s="31" t="s">
        <v>1298</v>
      </c>
      <c r="G821" s="11" t="s">
        <v>55</v>
      </c>
      <c r="H821" s="8" t="s">
        <v>151</v>
      </c>
      <c r="I821" s="74" t="s">
        <v>1299</v>
      </c>
      <c r="J821" s="25">
        <v>43739</v>
      </c>
      <c r="K821" s="25">
        <v>45261</v>
      </c>
      <c r="L821" s="26">
        <f t="shared" si="287"/>
        <v>83.983862959609539</v>
      </c>
      <c r="M821" s="11" t="s">
        <v>136</v>
      </c>
      <c r="N821" s="11" t="s">
        <v>261</v>
      </c>
      <c r="O821" s="11" t="s">
        <v>261</v>
      </c>
      <c r="P821" s="27" t="s">
        <v>138</v>
      </c>
      <c r="Q821" s="11" t="s">
        <v>34</v>
      </c>
      <c r="R821" s="1">
        <f t="shared" si="289"/>
        <v>18405842.140000001</v>
      </c>
      <c r="S821" s="2">
        <v>14842708.060000001</v>
      </c>
      <c r="T821" s="2">
        <v>3563134.0799999996</v>
      </c>
      <c r="U821" s="1">
        <f t="shared" si="290"/>
        <v>0</v>
      </c>
      <c r="V821" s="28">
        <v>0</v>
      </c>
      <c r="W821" s="28">
        <v>0</v>
      </c>
      <c r="X821" s="1">
        <f t="shared" si="291"/>
        <v>3510084.91</v>
      </c>
      <c r="Y821" s="2">
        <v>2619301.41</v>
      </c>
      <c r="Z821" s="2">
        <v>890783.5</v>
      </c>
      <c r="AA821" s="2">
        <f t="shared" si="292"/>
        <v>0</v>
      </c>
      <c r="AB821" s="2">
        <v>0</v>
      </c>
      <c r="AC821" s="2">
        <v>0</v>
      </c>
      <c r="AD821" s="16">
        <f t="shared" si="283"/>
        <v>21915927.050000001</v>
      </c>
      <c r="AE821" s="2">
        <v>0</v>
      </c>
      <c r="AF821" s="2">
        <f t="shared" si="293"/>
        <v>21915927.050000001</v>
      </c>
      <c r="AG821" s="38" t="s">
        <v>486</v>
      </c>
      <c r="AH821" s="29" t="s">
        <v>3091</v>
      </c>
      <c r="AI821" s="30">
        <f>113724.23+176713.8</f>
        <v>290438.02999999997</v>
      </c>
      <c r="AJ821" s="30">
        <v>0</v>
      </c>
    </row>
    <row r="822" spans="1:36" ht="199.5" customHeight="1" x14ac:dyDescent="0.25">
      <c r="A822" s="6">
        <v>819</v>
      </c>
      <c r="B822" s="31">
        <v>129513</v>
      </c>
      <c r="C822" s="31">
        <v>751</v>
      </c>
      <c r="D822" s="177" t="s">
        <v>145</v>
      </c>
      <c r="E822" s="82" t="s">
        <v>1179</v>
      </c>
      <c r="F822" s="31" t="s">
        <v>1300</v>
      </c>
      <c r="G822" s="11" t="s">
        <v>810</v>
      </c>
      <c r="H822" s="8" t="s">
        <v>151</v>
      </c>
      <c r="I822" s="74" t="s">
        <v>3011</v>
      </c>
      <c r="J822" s="25">
        <v>43740</v>
      </c>
      <c r="K822" s="25">
        <v>45201</v>
      </c>
      <c r="L822" s="26">
        <f t="shared" si="287"/>
        <v>83.983862829875051</v>
      </c>
      <c r="M822" s="11" t="s">
        <v>136</v>
      </c>
      <c r="N822" s="11" t="s">
        <v>261</v>
      </c>
      <c r="O822" s="11" t="s">
        <v>261</v>
      </c>
      <c r="P822" s="27" t="s">
        <v>138</v>
      </c>
      <c r="Q822" s="11" t="s">
        <v>34</v>
      </c>
      <c r="R822" s="1">
        <f t="shared" si="289"/>
        <v>55026079.820000015</v>
      </c>
      <c r="S822" s="2">
        <v>44373739.230000012</v>
      </c>
      <c r="T822" s="2">
        <v>10652340.590000002</v>
      </c>
      <c r="U822" s="1">
        <f t="shared" si="290"/>
        <v>0</v>
      </c>
      <c r="V822" s="28">
        <v>0</v>
      </c>
      <c r="W822" s="28">
        <v>0</v>
      </c>
      <c r="X822" s="1">
        <f t="shared" si="291"/>
        <v>10493745.02</v>
      </c>
      <c r="Y822" s="2">
        <v>7830659.8600000003</v>
      </c>
      <c r="Z822" s="2">
        <v>2663085.16</v>
      </c>
      <c r="AA822" s="2">
        <f t="shared" si="292"/>
        <v>0</v>
      </c>
      <c r="AB822" s="2">
        <v>0</v>
      </c>
      <c r="AC822" s="2">
        <v>0</v>
      </c>
      <c r="AD822" s="16">
        <f t="shared" si="283"/>
        <v>65519824.840000018</v>
      </c>
      <c r="AE822" s="2">
        <v>0</v>
      </c>
      <c r="AF822" s="2">
        <f t="shared" si="293"/>
        <v>65519824.840000018</v>
      </c>
      <c r="AG822" s="38" t="s">
        <v>486</v>
      </c>
      <c r="AH822" s="29" t="s">
        <v>3284</v>
      </c>
      <c r="AI822" s="30">
        <f>281049.48+685757.66+516714.08+428470.56+486322+3637845.48+5033286.39+4929615.14+3320463.26+5873682.78+5090111.22+4774044.76</f>
        <v>35057362.809999995</v>
      </c>
      <c r="AJ822" s="30">
        <v>0</v>
      </c>
    </row>
    <row r="823" spans="1:36" ht="199.5" customHeight="1" x14ac:dyDescent="0.25">
      <c r="A823" s="6">
        <v>820</v>
      </c>
      <c r="B823" s="31">
        <v>127623</v>
      </c>
      <c r="C823" s="31">
        <v>595</v>
      </c>
      <c r="D823" s="11" t="s">
        <v>143</v>
      </c>
      <c r="E823" s="24" t="s">
        <v>979</v>
      </c>
      <c r="F823" s="31" t="s">
        <v>1310</v>
      </c>
      <c r="G823" s="27" t="s">
        <v>2111</v>
      </c>
      <c r="H823" s="8" t="s">
        <v>151</v>
      </c>
      <c r="I823" s="74" t="s">
        <v>1311</v>
      </c>
      <c r="J823" s="25">
        <v>43747</v>
      </c>
      <c r="K823" s="25">
        <v>45208</v>
      </c>
      <c r="L823" s="26">
        <f t="shared" si="287"/>
        <v>83.983862788509896</v>
      </c>
      <c r="M823" s="11" t="s">
        <v>136</v>
      </c>
      <c r="N823" s="11" t="s">
        <v>261</v>
      </c>
      <c r="O823" s="11" t="s">
        <v>261</v>
      </c>
      <c r="P823" s="27" t="s">
        <v>138</v>
      </c>
      <c r="Q823" s="11" t="s">
        <v>34</v>
      </c>
      <c r="R823" s="1">
        <f t="shared" si="289"/>
        <v>9906922.4199999999</v>
      </c>
      <c r="S823" s="2">
        <v>7989069.8000000007</v>
      </c>
      <c r="T823" s="2">
        <v>1917852.6199999999</v>
      </c>
      <c r="U823" s="1">
        <f t="shared" si="290"/>
        <v>0</v>
      </c>
      <c r="V823" s="28">
        <v>0</v>
      </c>
      <c r="W823" s="28">
        <v>0</v>
      </c>
      <c r="X823" s="1">
        <f t="shared" si="291"/>
        <v>1889299.01</v>
      </c>
      <c r="Y823" s="2">
        <v>1409835.84</v>
      </c>
      <c r="Z823" s="2">
        <v>479463.17</v>
      </c>
      <c r="AA823" s="2">
        <f t="shared" si="292"/>
        <v>0</v>
      </c>
      <c r="AB823" s="2">
        <v>0</v>
      </c>
      <c r="AC823" s="2">
        <v>0</v>
      </c>
      <c r="AD823" s="16">
        <f t="shared" si="283"/>
        <v>11796221.43</v>
      </c>
      <c r="AE823" s="2">
        <v>0</v>
      </c>
      <c r="AF823" s="2">
        <f t="shared" si="293"/>
        <v>11796221.43</v>
      </c>
      <c r="AG823" s="38" t="s">
        <v>486</v>
      </c>
      <c r="AH823" s="29" t="s">
        <v>2300</v>
      </c>
      <c r="AI823" s="30">
        <f>132598.52+77491.92+74960.64+115335.69</f>
        <v>400386.77</v>
      </c>
      <c r="AJ823" s="30">
        <v>0</v>
      </c>
    </row>
    <row r="824" spans="1:36" ht="199.5" customHeight="1" x14ac:dyDescent="0.25">
      <c r="A824" s="6">
        <v>821</v>
      </c>
      <c r="B824" s="31">
        <v>127598</v>
      </c>
      <c r="C824" s="31">
        <v>608</v>
      </c>
      <c r="D824" s="11" t="s">
        <v>143</v>
      </c>
      <c r="E824" s="24" t="s">
        <v>979</v>
      </c>
      <c r="F824" s="31" t="s">
        <v>1312</v>
      </c>
      <c r="G824" s="11" t="s">
        <v>1397</v>
      </c>
      <c r="H824" s="11" t="s">
        <v>1313</v>
      </c>
      <c r="I824" s="74" t="s">
        <v>3012</v>
      </c>
      <c r="J824" s="25">
        <v>43749</v>
      </c>
      <c r="K824" s="25">
        <v>45241</v>
      </c>
      <c r="L824" s="26">
        <f t="shared" si="287"/>
        <v>83.983863222222226</v>
      </c>
      <c r="M824" s="11" t="s">
        <v>136</v>
      </c>
      <c r="N824" s="11" t="s">
        <v>261</v>
      </c>
      <c r="O824" s="11" t="s">
        <v>261</v>
      </c>
      <c r="P824" s="27" t="s">
        <v>138</v>
      </c>
      <c r="Q824" s="11" t="s">
        <v>34</v>
      </c>
      <c r="R824" s="1">
        <f t="shared" si="289"/>
        <v>15117095.379999999</v>
      </c>
      <c r="S824" s="2">
        <v>12190620.34</v>
      </c>
      <c r="T824" s="2">
        <v>2926475.04</v>
      </c>
      <c r="U824" s="1">
        <f t="shared" si="290"/>
        <v>1618328.4200000002</v>
      </c>
      <c r="V824" s="28">
        <v>1195958.3700000001</v>
      </c>
      <c r="W824" s="28">
        <v>422370.05</v>
      </c>
      <c r="X824" s="1">
        <f t="shared" si="291"/>
        <v>1264576.2</v>
      </c>
      <c r="Y824" s="2">
        <v>955327.51</v>
      </c>
      <c r="Z824" s="2">
        <v>309248.69</v>
      </c>
      <c r="AA824" s="2">
        <f t="shared" si="292"/>
        <v>0</v>
      </c>
      <c r="AB824" s="2">
        <v>0</v>
      </c>
      <c r="AC824" s="2">
        <v>0</v>
      </c>
      <c r="AD824" s="16">
        <f t="shared" si="283"/>
        <v>18000000</v>
      </c>
      <c r="AE824" s="2">
        <v>0</v>
      </c>
      <c r="AF824" s="2">
        <f t="shared" si="293"/>
        <v>18000000</v>
      </c>
      <c r="AG824" s="38" t="s">
        <v>486</v>
      </c>
      <c r="AH824" s="29" t="s">
        <v>3263</v>
      </c>
      <c r="AI824" s="30">
        <f>1256566.16-2065.82+1022736.42+817563.47+1120183.68+760620.34-64262.61+317482.39+993219.65+272717.19+603869.98-133632.67+876836.06</f>
        <v>7841834.2400000002</v>
      </c>
      <c r="AJ824" s="30">
        <f>52183.12+2065.82+111341.07+136443.83+163573.7+116215.72+199320.79+27655.69+100780.39+124033.82</f>
        <v>1033613.95</v>
      </c>
    </row>
    <row r="825" spans="1:36" ht="271.5" customHeight="1" x14ac:dyDescent="0.25">
      <c r="A825" s="6">
        <v>822</v>
      </c>
      <c r="B825" s="31">
        <v>129427</v>
      </c>
      <c r="C825" s="31">
        <v>702</v>
      </c>
      <c r="D825" s="177" t="s">
        <v>143</v>
      </c>
      <c r="E825" s="82" t="s">
        <v>1056</v>
      </c>
      <c r="F825" s="11" t="s">
        <v>1314</v>
      </c>
      <c r="G825" s="11" t="s">
        <v>1719</v>
      </c>
      <c r="H825" s="8" t="s">
        <v>151</v>
      </c>
      <c r="I825" s="46" t="s">
        <v>1315</v>
      </c>
      <c r="J825" s="25">
        <v>43749</v>
      </c>
      <c r="K825" s="25">
        <v>45027</v>
      </c>
      <c r="L825" s="26">
        <f t="shared" si="287"/>
        <v>83.983863368336614</v>
      </c>
      <c r="M825" s="11" t="s">
        <v>136</v>
      </c>
      <c r="N825" s="11" t="s">
        <v>261</v>
      </c>
      <c r="O825" s="11" t="s">
        <v>261</v>
      </c>
      <c r="P825" s="27" t="s">
        <v>138</v>
      </c>
      <c r="Q825" s="11" t="s">
        <v>34</v>
      </c>
      <c r="R825" s="1">
        <f t="shared" si="289"/>
        <v>5463727.5500000007</v>
      </c>
      <c r="S825" s="2">
        <v>4406020.2300000004</v>
      </c>
      <c r="T825" s="2">
        <v>1057707.32</v>
      </c>
      <c r="U825" s="1">
        <f t="shared" si="290"/>
        <v>0</v>
      </c>
      <c r="V825" s="28">
        <v>0</v>
      </c>
      <c r="W825" s="28">
        <v>0</v>
      </c>
      <c r="X825" s="1">
        <f t="shared" si="291"/>
        <v>1041959.77</v>
      </c>
      <c r="Y825" s="2">
        <v>777532.96</v>
      </c>
      <c r="Z825" s="2">
        <v>264426.81</v>
      </c>
      <c r="AA825" s="2">
        <f t="shared" si="292"/>
        <v>0</v>
      </c>
      <c r="AB825" s="2">
        <v>0</v>
      </c>
      <c r="AC825" s="2">
        <v>0</v>
      </c>
      <c r="AD825" s="16">
        <f t="shared" si="283"/>
        <v>6505687.3200000003</v>
      </c>
      <c r="AE825" s="2">
        <v>0</v>
      </c>
      <c r="AF825" s="2">
        <f t="shared" si="293"/>
        <v>6505687.3200000003</v>
      </c>
      <c r="AG825" s="38" t="s">
        <v>486</v>
      </c>
      <c r="AH825" s="29" t="s">
        <v>1792</v>
      </c>
      <c r="AI825" s="30">
        <f>19662.36+1815.43+321662.32</f>
        <v>343140.11</v>
      </c>
      <c r="AJ825" s="30">
        <v>0</v>
      </c>
    </row>
    <row r="826" spans="1:36" ht="271.5" customHeight="1" x14ac:dyDescent="0.25">
      <c r="A826" s="6">
        <v>823</v>
      </c>
      <c r="B826" s="31">
        <v>129900</v>
      </c>
      <c r="C826" s="31">
        <v>731</v>
      </c>
      <c r="D826" s="177" t="s">
        <v>143</v>
      </c>
      <c r="E826" s="82" t="s">
        <v>1056</v>
      </c>
      <c r="F826" s="31" t="s">
        <v>1317</v>
      </c>
      <c r="G826" s="27" t="s">
        <v>1717</v>
      </c>
      <c r="H826" s="8" t="s">
        <v>151</v>
      </c>
      <c r="I826" s="46" t="s">
        <v>3013</v>
      </c>
      <c r="J826" s="25">
        <v>43752</v>
      </c>
      <c r="K826" s="25">
        <v>45121</v>
      </c>
      <c r="L826" s="26">
        <f t="shared" si="287"/>
        <v>83.983863141574176</v>
      </c>
      <c r="M826" s="11" t="s">
        <v>136</v>
      </c>
      <c r="N826" s="11" t="s">
        <v>261</v>
      </c>
      <c r="O826" s="11" t="s">
        <v>261</v>
      </c>
      <c r="P826" s="27" t="s">
        <v>138</v>
      </c>
      <c r="Q826" s="11" t="s">
        <v>34</v>
      </c>
      <c r="R826" s="1">
        <f t="shared" si="289"/>
        <v>10447061.779999999</v>
      </c>
      <c r="S826" s="2">
        <v>8424645.129999999</v>
      </c>
      <c r="T826" s="2">
        <v>2022416.6500000001</v>
      </c>
      <c r="U826" s="1">
        <f t="shared" si="290"/>
        <v>0</v>
      </c>
      <c r="V826" s="28">
        <v>0</v>
      </c>
      <c r="W826" s="28">
        <v>0</v>
      </c>
      <c r="X826" s="1">
        <f t="shared" si="291"/>
        <v>1992306.2</v>
      </c>
      <c r="Y826" s="2">
        <v>1486702.04</v>
      </c>
      <c r="Z826" s="2">
        <v>505604.16</v>
      </c>
      <c r="AA826" s="2">
        <f t="shared" si="292"/>
        <v>0</v>
      </c>
      <c r="AB826" s="2">
        <v>0</v>
      </c>
      <c r="AC826" s="2">
        <v>0</v>
      </c>
      <c r="AD826" s="16">
        <f t="shared" si="283"/>
        <v>12439367.979999999</v>
      </c>
      <c r="AE826" s="2">
        <v>0</v>
      </c>
      <c r="AF826" s="2">
        <f t="shared" si="293"/>
        <v>12439367.979999999</v>
      </c>
      <c r="AG826" s="38" t="s">
        <v>486</v>
      </c>
      <c r="AH826" s="29" t="s">
        <v>2060</v>
      </c>
      <c r="AI826" s="30">
        <f>8494.97+9887.42+40165.97+12018.09+10946.46+19789.11+12442.21+46830.42+25790.6+25882.15+10140.21+11095.95+1153293.28+345857.12+369430.74</f>
        <v>2102064.7000000002</v>
      </c>
      <c r="AJ826" s="30">
        <v>0</v>
      </c>
    </row>
    <row r="827" spans="1:36" ht="271.5" customHeight="1" x14ac:dyDescent="0.25">
      <c r="A827" s="6">
        <v>824</v>
      </c>
      <c r="B827" s="31">
        <v>129165</v>
      </c>
      <c r="C827" s="31">
        <v>728</v>
      </c>
      <c r="D827" s="177" t="s">
        <v>143</v>
      </c>
      <c r="E827" s="82" t="s">
        <v>1056</v>
      </c>
      <c r="F827" s="31" t="s">
        <v>1318</v>
      </c>
      <c r="G827" s="11" t="s">
        <v>55</v>
      </c>
      <c r="H827" s="8" t="s">
        <v>151</v>
      </c>
      <c r="I827" s="46" t="s">
        <v>3014</v>
      </c>
      <c r="J827" s="25">
        <v>43754</v>
      </c>
      <c r="K827" s="25">
        <v>45246</v>
      </c>
      <c r="L827" s="26">
        <f t="shared" si="287"/>
        <v>83.983862955554315</v>
      </c>
      <c r="M827" s="11" t="s">
        <v>136</v>
      </c>
      <c r="N827" s="11" t="s">
        <v>261</v>
      </c>
      <c r="O827" s="11" t="s">
        <v>261</v>
      </c>
      <c r="P827" s="27" t="s">
        <v>138</v>
      </c>
      <c r="Q827" s="11" t="s">
        <v>34</v>
      </c>
      <c r="R827" s="1">
        <f t="shared" si="289"/>
        <v>11750422.249999996</v>
      </c>
      <c r="S827" s="2">
        <v>9475691.7799999975</v>
      </c>
      <c r="T827" s="2">
        <v>2274730.4699999997</v>
      </c>
      <c r="U827" s="1">
        <f t="shared" si="290"/>
        <v>0</v>
      </c>
      <c r="V827" s="28">
        <v>0</v>
      </c>
      <c r="W827" s="28">
        <v>0</v>
      </c>
      <c r="X827" s="1">
        <f t="shared" si="291"/>
        <v>2240863.5</v>
      </c>
      <c r="Y827" s="2">
        <v>1672180.9</v>
      </c>
      <c r="Z827" s="2">
        <v>568682.6</v>
      </c>
      <c r="AA827" s="2">
        <f t="shared" si="292"/>
        <v>0</v>
      </c>
      <c r="AB827" s="2">
        <v>0</v>
      </c>
      <c r="AC827" s="2">
        <v>0</v>
      </c>
      <c r="AD827" s="16">
        <f t="shared" si="283"/>
        <v>13991285.749999996</v>
      </c>
      <c r="AE827" s="2">
        <v>0</v>
      </c>
      <c r="AF827" s="2">
        <f t="shared" si="293"/>
        <v>13991285.749999996</v>
      </c>
      <c r="AG827" s="38" t="s">
        <v>486</v>
      </c>
      <c r="AH827" s="29" t="s">
        <v>2224</v>
      </c>
      <c r="AI827" s="30">
        <f>83522.79+351800.22+129034.08+323672.9+406338.08+645463.19</f>
        <v>1939831.26</v>
      </c>
      <c r="AJ827" s="30">
        <v>0</v>
      </c>
    </row>
    <row r="828" spans="1:36" ht="271.5" customHeight="1" x14ac:dyDescent="0.25">
      <c r="A828" s="6">
        <v>825</v>
      </c>
      <c r="B828" s="31">
        <v>130070</v>
      </c>
      <c r="C828" s="31">
        <v>730</v>
      </c>
      <c r="D828" s="177" t="s">
        <v>143</v>
      </c>
      <c r="E828" s="82" t="s">
        <v>1056</v>
      </c>
      <c r="F828" s="31" t="s">
        <v>1319</v>
      </c>
      <c r="G828" s="11" t="s">
        <v>1354</v>
      </c>
      <c r="H828" s="8" t="s">
        <v>151</v>
      </c>
      <c r="I828" s="32" t="s">
        <v>1326</v>
      </c>
      <c r="J828" s="25">
        <v>43755</v>
      </c>
      <c r="K828" s="25">
        <v>45124</v>
      </c>
      <c r="L828" s="26">
        <f t="shared" si="287"/>
        <v>83.98386390777695</v>
      </c>
      <c r="M828" s="11" t="s">
        <v>136</v>
      </c>
      <c r="N828" s="11" t="s">
        <v>261</v>
      </c>
      <c r="O828" s="11" t="s">
        <v>261</v>
      </c>
      <c r="P828" s="27" t="s">
        <v>138</v>
      </c>
      <c r="Q828" s="11" t="s">
        <v>34</v>
      </c>
      <c r="R828" s="1">
        <f t="shared" si="289"/>
        <v>3788406.34</v>
      </c>
      <c r="S828" s="2">
        <v>3055019.6199999996</v>
      </c>
      <c r="T828" s="2">
        <v>733386.72</v>
      </c>
      <c r="U828" s="1">
        <f t="shared" si="290"/>
        <v>0</v>
      </c>
      <c r="V828" s="28">
        <v>0</v>
      </c>
      <c r="W828" s="28">
        <v>0</v>
      </c>
      <c r="X828" s="1">
        <f t="shared" si="291"/>
        <v>722467.73</v>
      </c>
      <c r="Y828" s="2">
        <v>539121.1</v>
      </c>
      <c r="Z828" s="2">
        <v>183346.63</v>
      </c>
      <c r="AA828" s="2">
        <f t="shared" si="292"/>
        <v>0</v>
      </c>
      <c r="AB828" s="2">
        <v>0</v>
      </c>
      <c r="AC828" s="2">
        <v>0</v>
      </c>
      <c r="AD828" s="16">
        <f t="shared" si="283"/>
        <v>4510874.07</v>
      </c>
      <c r="AE828" s="2">
        <v>0</v>
      </c>
      <c r="AF828" s="2">
        <f t="shared" si="293"/>
        <v>4510874.07</v>
      </c>
      <c r="AG828" s="38" t="s">
        <v>486</v>
      </c>
      <c r="AH828" s="29" t="s">
        <v>2282</v>
      </c>
      <c r="AI828" s="30">
        <f>15001.2+67145.65+55185.8+64431.59+132395.32+65406.63+164733.91</f>
        <v>564300.1</v>
      </c>
      <c r="AJ828" s="30">
        <v>0</v>
      </c>
    </row>
    <row r="829" spans="1:36" ht="271.5" customHeight="1" x14ac:dyDescent="0.25">
      <c r="A829" s="6">
        <v>826</v>
      </c>
      <c r="B829" s="31">
        <v>129717</v>
      </c>
      <c r="C829" s="31">
        <v>713</v>
      </c>
      <c r="D829" s="177" t="s">
        <v>143</v>
      </c>
      <c r="E829" s="82" t="s">
        <v>1056</v>
      </c>
      <c r="F829" s="31" t="s">
        <v>1321</v>
      </c>
      <c r="G829" s="27" t="s">
        <v>1717</v>
      </c>
      <c r="H829" s="8" t="s">
        <v>151</v>
      </c>
      <c r="I829" s="46" t="s">
        <v>1322</v>
      </c>
      <c r="J829" s="25">
        <v>43755</v>
      </c>
      <c r="K829" s="25">
        <v>45094</v>
      </c>
      <c r="L829" s="26">
        <f t="shared" si="287"/>
        <v>83.983862667405546</v>
      </c>
      <c r="M829" s="11" t="s">
        <v>136</v>
      </c>
      <c r="N829" s="11" t="s">
        <v>261</v>
      </c>
      <c r="O829" s="11" t="s">
        <v>261</v>
      </c>
      <c r="P829" s="27" t="s">
        <v>138</v>
      </c>
      <c r="Q829" s="11" t="s">
        <v>34</v>
      </c>
      <c r="R829" s="1">
        <f t="shared" si="289"/>
        <v>5038501.1500000004</v>
      </c>
      <c r="S829" s="2">
        <v>4063112.22</v>
      </c>
      <c r="T829" s="2">
        <v>975388.93</v>
      </c>
      <c r="U829" s="1">
        <f t="shared" si="290"/>
        <v>0</v>
      </c>
      <c r="V829" s="28">
        <v>0</v>
      </c>
      <c r="W829" s="28">
        <v>0</v>
      </c>
      <c r="X829" s="1">
        <f t="shared" si="291"/>
        <v>960867.05</v>
      </c>
      <c r="Y829" s="2">
        <v>717019.79</v>
      </c>
      <c r="Z829" s="2">
        <v>243847.26</v>
      </c>
      <c r="AA829" s="2">
        <f t="shared" si="292"/>
        <v>0</v>
      </c>
      <c r="AB829" s="2">
        <v>0</v>
      </c>
      <c r="AC829" s="2">
        <v>0</v>
      </c>
      <c r="AD829" s="16">
        <f t="shared" si="283"/>
        <v>5999368.2000000002</v>
      </c>
      <c r="AE829" s="2">
        <v>0</v>
      </c>
      <c r="AF829" s="2">
        <f t="shared" si="293"/>
        <v>5999368.2000000002</v>
      </c>
      <c r="AG829" s="38" t="s">
        <v>486</v>
      </c>
      <c r="AH829" s="29" t="s">
        <v>1967</v>
      </c>
      <c r="AI829" s="30">
        <f>129503.12+13186.83+9573.32+351744.57+9168.52+211955.38+17232.65+519265.24</f>
        <v>1261629.6299999999</v>
      </c>
      <c r="AJ829" s="30">
        <v>0</v>
      </c>
    </row>
    <row r="830" spans="1:36" ht="409.5" customHeight="1" x14ac:dyDescent="0.25">
      <c r="A830" s="6">
        <v>827</v>
      </c>
      <c r="B830" s="31">
        <v>130033</v>
      </c>
      <c r="C830" s="31">
        <v>734</v>
      </c>
      <c r="D830" s="177" t="s">
        <v>143</v>
      </c>
      <c r="E830" s="82" t="s">
        <v>1056</v>
      </c>
      <c r="F830" s="31" t="s">
        <v>1324</v>
      </c>
      <c r="G830" s="11" t="s">
        <v>1397</v>
      </c>
      <c r="H830" s="11" t="s">
        <v>1325</v>
      </c>
      <c r="I830" s="46" t="s">
        <v>1327</v>
      </c>
      <c r="J830" s="25">
        <v>43755</v>
      </c>
      <c r="K830" s="25">
        <v>45216</v>
      </c>
      <c r="L830" s="26">
        <f t="shared" si="287"/>
        <v>83.983862824652149</v>
      </c>
      <c r="M830" s="11" t="s">
        <v>136</v>
      </c>
      <c r="N830" s="11" t="s">
        <v>261</v>
      </c>
      <c r="O830" s="11" t="s">
        <v>261</v>
      </c>
      <c r="P830" s="27" t="s">
        <v>138</v>
      </c>
      <c r="Q830" s="11" t="s">
        <v>34</v>
      </c>
      <c r="R830" s="1">
        <f t="shared" si="289"/>
        <v>117574048.60000001</v>
      </c>
      <c r="S830" s="2">
        <v>94813226.560000002</v>
      </c>
      <c r="T830" s="2">
        <v>22760822.040000007</v>
      </c>
      <c r="U830" s="1">
        <f t="shared" si="290"/>
        <v>974280.55999999994</v>
      </c>
      <c r="V830" s="28">
        <v>720001.54999999993</v>
      </c>
      <c r="W830" s="28">
        <v>254279.01</v>
      </c>
      <c r="X830" s="1">
        <f t="shared" si="291"/>
        <v>21447670.84</v>
      </c>
      <c r="Y830" s="2">
        <v>16011744.310000001</v>
      </c>
      <c r="Z830" s="2">
        <v>5435926.5300000003</v>
      </c>
      <c r="AA830" s="2">
        <f t="shared" si="292"/>
        <v>0</v>
      </c>
      <c r="AB830" s="2">
        <v>0</v>
      </c>
      <c r="AC830" s="2">
        <v>0</v>
      </c>
      <c r="AD830" s="16">
        <f t="shared" si="283"/>
        <v>139996000</v>
      </c>
      <c r="AE830" s="2">
        <v>0</v>
      </c>
      <c r="AF830" s="2">
        <f t="shared" si="293"/>
        <v>139996000</v>
      </c>
      <c r="AG830" s="38" t="s">
        <v>486</v>
      </c>
      <c r="AH830" s="29" t="s">
        <v>1759</v>
      </c>
      <c r="AI830" s="30">
        <f>10931339.59+1052162.42+3541052.81+1696.47+7201895.04+674660.74</f>
        <v>23402807.07</v>
      </c>
      <c r="AJ830" s="30">
        <f>165728.5+234828.34+283.13+242679.46+96341.89</f>
        <v>739861.32</v>
      </c>
    </row>
    <row r="831" spans="1:36" ht="409.5" customHeight="1" x14ac:dyDescent="0.25">
      <c r="A831" s="6">
        <v>828</v>
      </c>
      <c r="B831" s="31">
        <v>129914</v>
      </c>
      <c r="C831" s="31">
        <v>752</v>
      </c>
      <c r="D831" s="177" t="s">
        <v>145</v>
      </c>
      <c r="E831" s="82" t="s">
        <v>1179</v>
      </c>
      <c r="F831" s="31" t="s">
        <v>1328</v>
      </c>
      <c r="G831" s="11" t="s">
        <v>1329</v>
      </c>
      <c r="H831" s="11" t="s">
        <v>525</v>
      </c>
      <c r="I831" s="46" t="s">
        <v>1330</v>
      </c>
      <c r="J831" s="25">
        <v>43755</v>
      </c>
      <c r="K831" s="25">
        <v>44912</v>
      </c>
      <c r="L831" s="26">
        <f t="shared" si="287"/>
        <v>83.983863158851392</v>
      </c>
      <c r="M831" s="11" t="s">
        <v>136</v>
      </c>
      <c r="N831" s="11" t="s">
        <v>261</v>
      </c>
      <c r="O831" s="11" t="s">
        <v>261</v>
      </c>
      <c r="P831" s="27" t="s">
        <v>138</v>
      </c>
      <c r="Q831" s="11" t="s">
        <v>34</v>
      </c>
      <c r="R831" s="1">
        <f t="shared" si="289"/>
        <v>8584841.4100000001</v>
      </c>
      <c r="S831" s="2">
        <v>6922926.6300000008</v>
      </c>
      <c r="T831" s="2">
        <v>1661914.7799999998</v>
      </c>
      <c r="U831" s="1">
        <f t="shared" si="290"/>
        <v>0</v>
      </c>
      <c r="V831" s="28">
        <v>0</v>
      </c>
      <c r="W831" s="28">
        <v>0</v>
      </c>
      <c r="X831" s="1">
        <f t="shared" si="291"/>
        <v>1637171.5899999999</v>
      </c>
      <c r="Y831" s="2">
        <v>1221692.92</v>
      </c>
      <c r="Z831" s="2">
        <v>415478.67</v>
      </c>
      <c r="AA831" s="2">
        <f t="shared" si="292"/>
        <v>0</v>
      </c>
      <c r="AB831" s="2">
        <v>0</v>
      </c>
      <c r="AC831" s="2">
        <v>0</v>
      </c>
      <c r="AD831" s="16">
        <f t="shared" si="283"/>
        <v>10222013</v>
      </c>
      <c r="AE831" s="2">
        <v>0</v>
      </c>
      <c r="AF831" s="2">
        <f t="shared" si="293"/>
        <v>10222013</v>
      </c>
      <c r="AG831" s="38" t="s">
        <v>486</v>
      </c>
      <c r="AH831" s="29" t="s">
        <v>3113</v>
      </c>
      <c r="AI831" s="30">
        <f>121921.89+165239.27+154753.7+261297.32+406055.9+1063553+1309979.41+985033.92+393858.93+504303.91+410791.6+249327.97</f>
        <v>6026116.8199999994</v>
      </c>
      <c r="AJ831" s="30">
        <v>0</v>
      </c>
    </row>
    <row r="832" spans="1:36" ht="279" customHeight="1" x14ac:dyDescent="0.25">
      <c r="A832" s="6">
        <v>829</v>
      </c>
      <c r="B832" s="31">
        <v>129605</v>
      </c>
      <c r="C832" s="31">
        <v>723</v>
      </c>
      <c r="D832" s="177" t="s">
        <v>143</v>
      </c>
      <c r="E832" s="82" t="s">
        <v>1056</v>
      </c>
      <c r="F832" s="31" t="s">
        <v>1337</v>
      </c>
      <c r="G832" s="11" t="s">
        <v>55</v>
      </c>
      <c r="H832" s="8" t="s">
        <v>151</v>
      </c>
      <c r="I832" s="177" t="s">
        <v>1338</v>
      </c>
      <c r="J832" s="25">
        <v>43767</v>
      </c>
      <c r="K832" s="25">
        <v>45289</v>
      </c>
      <c r="L832" s="26">
        <f t="shared" si="287"/>
        <v>83.983862776024722</v>
      </c>
      <c r="M832" s="11" t="s">
        <v>136</v>
      </c>
      <c r="N832" s="11" t="s">
        <v>261</v>
      </c>
      <c r="O832" s="11" t="s">
        <v>261</v>
      </c>
      <c r="P832" s="27" t="s">
        <v>138</v>
      </c>
      <c r="Q832" s="11" t="s">
        <v>34</v>
      </c>
      <c r="R832" s="1">
        <f t="shared" si="289"/>
        <v>17794139.579999998</v>
      </c>
      <c r="S832" s="2">
        <v>14349423.26</v>
      </c>
      <c r="T832" s="2">
        <v>3444716.32</v>
      </c>
      <c r="U832" s="1">
        <f t="shared" si="290"/>
        <v>0</v>
      </c>
      <c r="V832" s="28">
        <v>0</v>
      </c>
      <c r="W832" s="28">
        <v>0</v>
      </c>
      <c r="X832" s="1">
        <f t="shared" si="291"/>
        <v>3393430.26</v>
      </c>
      <c r="Y832" s="2">
        <v>2532251.17</v>
      </c>
      <c r="Z832" s="2">
        <v>861179.09</v>
      </c>
      <c r="AA832" s="2">
        <f t="shared" si="292"/>
        <v>0</v>
      </c>
      <c r="AB832" s="2">
        <v>0</v>
      </c>
      <c r="AC832" s="2">
        <v>0</v>
      </c>
      <c r="AD832" s="16">
        <f t="shared" si="283"/>
        <v>21187569.839999996</v>
      </c>
      <c r="AE832" s="2">
        <v>0</v>
      </c>
      <c r="AF832" s="2">
        <f t="shared" si="293"/>
        <v>21187569.839999996</v>
      </c>
      <c r="AG832" s="38" t="s">
        <v>486</v>
      </c>
      <c r="AH832" s="29" t="s">
        <v>2238</v>
      </c>
      <c r="AI832" s="30">
        <f>22757.11+128885.93+61500.78+164886.35+53261.71+46141.57</f>
        <v>477433.45</v>
      </c>
      <c r="AJ832" s="30">
        <v>0</v>
      </c>
    </row>
    <row r="833" spans="1:36" ht="279" customHeight="1" x14ac:dyDescent="0.25">
      <c r="A833" s="6">
        <v>830</v>
      </c>
      <c r="B833" s="31">
        <v>129988</v>
      </c>
      <c r="C833" s="31">
        <v>722</v>
      </c>
      <c r="D833" s="177" t="s">
        <v>143</v>
      </c>
      <c r="E833" s="82" t="s">
        <v>1056</v>
      </c>
      <c r="F833" s="31" t="s">
        <v>1339</v>
      </c>
      <c r="G833" s="27" t="s">
        <v>1717</v>
      </c>
      <c r="H833" s="11" t="s">
        <v>1364</v>
      </c>
      <c r="I833" s="177" t="s">
        <v>3015</v>
      </c>
      <c r="J833" s="25">
        <v>43769</v>
      </c>
      <c r="K833" s="25">
        <v>44592</v>
      </c>
      <c r="L833" s="26">
        <f t="shared" si="287"/>
        <v>83.983861380083297</v>
      </c>
      <c r="M833" s="11" t="s">
        <v>136</v>
      </c>
      <c r="N833" s="11" t="s">
        <v>261</v>
      </c>
      <c r="O833" s="11" t="s">
        <v>261</v>
      </c>
      <c r="P833" s="27" t="s">
        <v>138</v>
      </c>
      <c r="Q833" s="11" t="s">
        <v>34</v>
      </c>
      <c r="R833" s="1">
        <f t="shared" si="289"/>
        <v>2316470.8900000006</v>
      </c>
      <c r="S833" s="2">
        <v>1868031.9900000007</v>
      </c>
      <c r="T833" s="2">
        <v>448438.89999999997</v>
      </c>
      <c r="U833" s="1">
        <f t="shared" si="290"/>
        <v>24320.799999999999</v>
      </c>
      <c r="V833" s="28">
        <v>17973.28</v>
      </c>
      <c r="W833" s="28">
        <v>6347.52</v>
      </c>
      <c r="X833" s="1">
        <f t="shared" si="291"/>
        <v>417441.68</v>
      </c>
      <c r="Y833" s="2">
        <v>311679.42</v>
      </c>
      <c r="Z833" s="2">
        <v>105762.26</v>
      </c>
      <c r="AA833" s="2">
        <f t="shared" si="292"/>
        <v>0</v>
      </c>
      <c r="AB833" s="2">
        <v>0</v>
      </c>
      <c r="AC833" s="2">
        <v>0</v>
      </c>
      <c r="AD833" s="16">
        <f t="shared" si="283"/>
        <v>2758233.3700000006</v>
      </c>
      <c r="AE833" s="2">
        <v>0</v>
      </c>
      <c r="AF833" s="2">
        <f t="shared" si="293"/>
        <v>2758233.3700000006</v>
      </c>
      <c r="AG833" s="38" t="s">
        <v>857</v>
      </c>
      <c r="AH833" s="29" t="s">
        <v>1774</v>
      </c>
      <c r="AI833" s="30">
        <f>10251.91+105966.94+132739.32+625530.07+949083.51</f>
        <v>1823571.75</v>
      </c>
      <c r="AJ833" s="30">
        <f>339.33+931.37+9785.36</f>
        <v>11056.060000000001</v>
      </c>
    </row>
    <row r="834" spans="1:36" ht="279" customHeight="1" x14ac:dyDescent="0.25">
      <c r="A834" s="6">
        <v>831</v>
      </c>
      <c r="B834" s="31">
        <v>126131</v>
      </c>
      <c r="C834" s="31">
        <v>575</v>
      </c>
      <c r="D834" s="177" t="s">
        <v>143</v>
      </c>
      <c r="E834" s="82" t="s">
        <v>979</v>
      </c>
      <c r="F834" s="31" t="s">
        <v>1341</v>
      </c>
      <c r="G834" s="11" t="s">
        <v>1350</v>
      </c>
      <c r="H834" s="8" t="s">
        <v>151</v>
      </c>
      <c r="I834" s="177" t="s">
        <v>1342</v>
      </c>
      <c r="J834" s="25">
        <v>43770</v>
      </c>
      <c r="K834" s="25">
        <v>44562</v>
      </c>
      <c r="L834" s="26">
        <f t="shared" si="287"/>
        <v>83.983862526260836</v>
      </c>
      <c r="M834" s="11" t="s">
        <v>1343</v>
      </c>
      <c r="N834" s="11" t="s">
        <v>261</v>
      </c>
      <c r="O834" s="11" t="s">
        <v>137</v>
      </c>
      <c r="P834" s="27" t="s">
        <v>138</v>
      </c>
      <c r="Q834" s="11" t="s">
        <v>1344</v>
      </c>
      <c r="R834" s="1">
        <f t="shared" si="289"/>
        <v>5226214.8500000024</v>
      </c>
      <c r="S834" s="2">
        <v>4214486.950000002</v>
      </c>
      <c r="T834" s="2">
        <v>1011727.9</v>
      </c>
      <c r="U834" s="1">
        <f t="shared" si="290"/>
        <v>0</v>
      </c>
      <c r="V834" s="28">
        <v>0</v>
      </c>
      <c r="W834" s="28">
        <v>0</v>
      </c>
      <c r="X834" s="1">
        <f t="shared" si="291"/>
        <v>996664.99</v>
      </c>
      <c r="Y834" s="2">
        <v>743733</v>
      </c>
      <c r="Z834" s="2">
        <v>252931.99</v>
      </c>
      <c r="AA834" s="2">
        <f t="shared" si="292"/>
        <v>0</v>
      </c>
      <c r="AB834" s="2">
        <v>0</v>
      </c>
      <c r="AC834" s="2">
        <v>0</v>
      </c>
      <c r="AD834" s="16">
        <f t="shared" si="283"/>
        <v>6222879.8400000026</v>
      </c>
      <c r="AE834" s="2">
        <v>0</v>
      </c>
      <c r="AF834" s="2">
        <f t="shared" si="293"/>
        <v>6222879.8400000026</v>
      </c>
      <c r="AG834" s="38" t="s">
        <v>857</v>
      </c>
      <c r="AH834" s="29" t="s">
        <v>1799</v>
      </c>
      <c r="AI834" s="30">
        <f>241884.65+99070.84+219197.39+126966.07+108092.98+760161.03+737630.16+2030856.71</f>
        <v>4323859.83</v>
      </c>
      <c r="AJ834" s="30">
        <v>0</v>
      </c>
    </row>
    <row r="835" spans="1:36" ht="279" customHeight="1" x14ac:dyDescent="0.25">
      <c r="A835" s="6">
        <v>832</v>
      </c>
      <c r="B835" s="31">
        <v>127024</v>
      </c>
      <c r="C835" s="31">
        <v>597</v>
      </c>
      <c r="D835" s="177" t="s">
        <v>143</v>
      </c>
      <c r="E835" s="82" t="s">
        <v>979</v>
      </c>
      <c r="F835" s="31" t="s">
        <v>1371</v>
      </c>
      <c r="G835" s="11" t="s">
        <v>1372</v>
      </c>
      <c r="H835" s="8" t="s">
        <v>151</v>
      </c>
      <c r="I835" s="33" t="s">
        <v>1373</v>
      </c>
      <c r="J835" s="25">
        <v>43780</v>
      </c>
      <c r="K835" s="25">
        <v>45241</v>
      </c>
      <c r="L835" s="26">
        <f t="shared" si="287"/>
        <v>83.983863448962865</v>
      </c>
      <c r="M835" s="11" t="s">
        <v>1343</v>
      </c>
      <c r="N835" s="11" t="s">
        <v>261</v>
      </c>
      <c r="O835" s="11" t="s">
        <v>137</v>
      </c>
      <c r="P835" s="27" t="s">
        <v>138</v>
      </c>
      <c r="Q835" s="11" t="s">
        <v>1344</v>
      </c>
      <c r="R835" s="1">
        <f t="shared" si="289"/>
        <v>7226660.4299999997</v>
      </c>
      <c r="S835" s="2">
        <v>5827672.0199999996</v>
      </c>
      <c r="T835" s="2">
        <v>1398988.41</v>
      </c>
      <c r="U835" s="1">
        <f t="shared" si="290"/>
        <v>0</v>
      </c>
      <c r="V835" s="28">
        <v>0</v>
      </c>
      <c r="W835" s="28">
        <v>0</v>
      </c>
      <c r="X835" s="1">
        <f t="shared" si="291"/>
        <v>1378159.75</v>
      </c>
      <c r="Y835" s="2">
        <v>1028412.65</v>
      </c>
      <c r="Z835" s="2">
        <v>349747.1</v>
      </c>
      <c r="AA835" s="2">
        <f t="shared" si="292"/>
        <v>0</v>
      </c>
      <c r="AB835" s="2">
        <v>0</v>
      </c>
      <c r="AC835" s="2">
        <v>0</v>
      </c>
      <c r="AD835" s="16">
        <f t="shared" si="283"/>
        <v>8604820.1799999997</v>
      </c>
      <c r="AE835" s="2">
        <v>1800000</v>
      </c>
      <c r="AF835" s="2">
        <f t="shared" si="293"/>
        <v>10404820.18</v>
      </c>
      <c r="AG835" s="38" t="s">
        <v>486</v>
      </c>
      <c r="AH835" s="29" t="s">
        <v>2237</v>
      </c>
      <c r="AI835" s="30">
        <f>15455.18+11690.56+20309.88+70213.23+31079.07+47971.58+31844.17+315923.77+812331.49</f>
        <v>1356818.93</v>
      </c>
      <c r="AJ835" s="30">
        <v>0</v>
      </c>
    </row>
    <row r="836" spans="1:36" ht="279" customHeight="1" x14ac:dyDescent="0.25">
      <c r="A836" s="6">
        <v>833</v>
      </c>
      <c r="B836" s="31">
        <v>129872</v>
      </c>
      <c r="C836" s="31">
        <v>715</v>
      </c>
      <c r="D836" s="177" t="s">
        <v>143</v>
      </c>
      <c r="E836" s="82" t="s">
        <v>1056</v>
      </c>
      <c r="F836" s="31" t="s">
        <v>1413</v>
      </c>
      <c r="G836" s="11" t="s">
        <v>1414</v>
      </c>
      <c r="H836" s="11" t="s">
        <v>1415</v>
      </c>
      <c r="I836" s="178" t="s">
        <v>1416</v>
      </c>
      <c r="J836" s="25">
        <v>43838</v>
      </c>
      <c r="K836" s="25">
        <v>45115</v>
      </c>
      <c r="L836" s="26">
        <f t="shared" si="287"/>
        <v>83.983862810067436</v>
      </c>
      <c r="M836" s="11" t="s">
        <v>1343</v>
      </c>
      <c r="N836" s="11" t="s">
        <v>261</v>
      </c>
      <c r="O836" s="11" t="s">
        <v>137</v>
      </c>
      <c r="P836" s="27" t="s">
        <v>138</v>
      </c>
      <c r="Q836" s="11" t="s">
        <v>1344</v>
      </c>
      <c r="R836" s="1">
        <f t="shared" si="289"/>
        <v>14298114.280000001</v>
      </c>
      <c r="S836" s="2">
        <v>11530183.430000002</v>
      </c>
      <c r="T836" s="2">
        <v>2767930.8499999996</v>
      </c>
      <c r="U836" s="1">
        <f t="shared" si="290"/>
        <v>2244176.9700000002</v>
      </c>
      <c r="V836" s="28">
        <v>1658464.5599999998</v>
      </c>
      <c r="W836" s="28">
        <v>585712.41000000027</v>
      </c>
      <c r="X836" s="1">
        <f t="shared" si="291"/>
        <v>482544</v>
      </c>
      <c r="Y836" s="2">
        <v>376273.71</v>
      </c>
      <c r="Z836" s="2">
        <v>106270.29</v>
      </c>
      <c r="AA836" s="2">
        <f t="shared" si="292"/>
        <v>0</v>
      </c>
      <c r="AB836" s="2">
        <v>0</v>
      </c>
      <c r="AC836" s="2">
        <v>0</v>
      </c>
      <c r="AD836" s="16">
        <f t="shared" si="283"/>
        <v>17024835.25</v>
      </c>
      <c r="AE836" s="2">
        <v>0</v>
      </c>
      <c r="AF836" s="2">
        <f t="shared" si="293"/>
        <v>17024835.25</v>
      </c>
      <c r="AG836" s="38" t="s">
        <v>486</v>
      </c>
      <c r="AH836" s="29" t="s">
        <v>3254</v>
      </c>
      <c r="AI836" s="30">
        <f>189152.64+1300000+1101373.25-51185.13+1344978.07-115334.83+971163.05-64039.15+2081656.78+756491.49+1297720.36</f>
        <v>8811976.5299999993</v>
      </c>
      <c r="AJ836" s="30">
        <f>31040.01+128850.4+121426.66+78498.26+138897.34+78482.69+253575.96+124994.97+214426.49</f>
        <v>1170192.78</v>
      </c>
    </row>
    <row r="837" spans="1:36" ht="279" customHeight="1" x14ac:dyDescent="0.25">
      <c r="A837" s="6">
        <v>834</v>
      </c>
      <c r="B837" s="31">
        <v>129752</v>
      </c>
      <c r="C837" s="31">
        <v>707</v>
      </c>
      <c r="D837" s="177" t="s">
        <v>143</v>
      </c>
      <c r="E837" s="82" t="s">
        <v>1056</v>
      </c>
      <c r="F837" s="31" t="s">
        <v>1378</v>
      </c>
      <c r="G837" s="11" t="s">
        <v>1960</v>
      </c>
      <c r="H837" s="8" t="s">
        <v>151</v>
      </c>
      <c r="I837" s="177" t="s">
        <v>3016</v>
      </c>
      <c r="J837" s="25">
        <v>43791</v>
      </c>
      <c r="K837" s="25">
        <v>44795</v>
      </c>
      <c r="L837" s="26">
        <f t="shared" si="287"/>
        <v>83.983863478914273</v>
      </c>
      <c r="M837" s="11" t="s">
        <v>1343</v>
      </c>
      <c r="N837" s="11" t="s">
        <v>261</v>
      </c>
      <c r="O837" s="11" t="s">
        <v>137</v>
      </c>
      <c r="P837" s="27" t="s">
        <v>138</v>
      </c>
      <c r="Q837" s="11" t="s">
        <v>1344</v>
      </c>
      <c r="R837" s="1">
        <f t="shared" si="289"/>
        <v>5269881.79</v>
      </c>
      <c r="S837" s="2">
        <v>4249700.58</v>
      </c>
      <c r="T837" s="2">
        <v>1020181.21</v>
      </c>
      <c r="U837" s="1">
        <f t="shared" si="290"/>
        <v>0</v>
      </c>
      <c r="V837" s="28">
        <v>0</v>
      </c>
      <c r="W837" s="28">
        <v>0</v>
      </c>
      <c r="X837" s="1">
        <f t="shared" si="291"/>
        <v>1004992.42</v>
      </c>
      <c r="Y837" s="2">
        <v>749947.06</v>
      </c>
      <c r="Z837" s="2">
        <v>255045.36</v>
      </c>
      <c r="AA837" s="2">
        <v>0</v>
      </c>
      <c r="AB837" s="2">
        <v>0</v>
      </c>
      <c r="AC837" s="2">
        <v>0</v>
      </c>
      <c r="AD837" s="16">
        <f t="shared" ref="AD837:AD893" si="296">R837+U837+X837+AA837</f>
        <v>6274874.21</v>
      </c>
      <c r="AE837" s="2">
        <v>0</v>
      </c>
      <c r="AF837" s="2">
        <f t="shared" si="293"/>
        <v>6274874.21</v>
      </c>
      <c r="AG837" s="38" t="s">
        <v>857</v>
      </c>
      <c r="AH837" s="29" t="s">
        <v>2130</v>
      </c>
      <c r="AI837" s="30">
        <f>544225.81+67302.99+86586.53+103080.13+136816.43+315882.22+326425.03+516651.61+390266.77+409.44+216994.81</f>
        <v>2704641.77</v>
      </c>
      <c r="AJ837" s="30">
        <v>0</v>
      </c>
    </row>
    <row r="838" spans="1:36" ht="279" customHeight="1" x14ac:dyDescent="0.25">
      <c r="A838" s="6">
        <v>835</v>
      </c>
      <c r="B838" s="31">
        <v>129166</v>
      </c>
      <c r="C838" s="31">
        <v>696</v>
      </c>
      <c r="D838" s="177" t="s">
        <v>143</v>
      </c>
      <c r="E838" s="82" t="s">
        <v>1056</v>
      </c>
      <c r="F838" s="31" t="s">
        <v>1383</v>
      </c>
      <c r="G838" s="11" t="s">
        <v>55</v>
      </c>
      <c r="H838" s="8" t="s">
        <v>151</v>
      </c>
      <c r="I838" s="177" t="s">
        <v>3017</v>
      </c>
      <c r="J838" s="25">
        <v>43797</v>
      </c>
      <c r="K838" s="25">
        <v>45258</v>
      </c>
      <c r="L838" s="26">
        <f t="shared" si="287"/>
        <v>83.983862904469049</v>
      </c>
      <c r="M838" s="11" t="s">
        <v>1343</v>
      </c>
      <c r="N838" s="11" t="s">
        <v>261</v>
      </c>
      <c r="O838" s="11" t="s">
        <v>137</v>
      </c>
      <c r="P838" s="27" t="s">
        <v>138</v>
      </c>
      <c r="Q838" s="11" t="s">
        <v>1344</v>
      </c>
      <c r="R838" s="1">
        <f t="shared" si="289"/>
        <v>11173608.710000001</v>
      </c>
      <c r="S838" s="2">
        <v>9010541.9300000016</v>
      </c>
      <c r="T838" s="2">
        <v>2163066.7799999998</v>
      </c>
      <c r="U838" s="1">
        <f t="shared" si="290"/>
        <v>0</v>
      </c>
      <c r="V838" s="28">
        <v>0</v>
      </c>
      <c r="W838" s="28">
        <v>0</v>
      </c>
      <c r="X838" s="1">
        <f t="shared" si="291"/>
        <v>2130862.3200000003</v>
      </c>
      <c r="Y838" s="2">
        <v>1590095.62</v>
      </c>
      <c r="Z838" s="2">
        <v>540766.69999999995</v>
      </c>
      <c r="AA838" s="2">
        <v>0</v>
      </c>
      <c r="AB838" s="2">
        <v>0</v>
      </c>
      <c r="AC838" s="2">
        <v>0</v>
      </c>
      <c r="AD838" s="16">
        <f t="shared" si="296"/>
        <v>13304471.030000001</v>
      </c>
      <c r="AE838" s="2">
        <v>0</v>
      </c>
      <c r="AF838" s="2">
        <f t="shared" si="293"/>
        <v>13304471.030000001</v>
      </c>
      <c r="AG838" s="38" t="s">
        <v>486</v>
      </c>
      <c r="AH838" s="29" t="s">
        <v>3253</v>
      </c>
      <c r="AI838" s="30">
        <f>153377.25+187286.87+232227.13+291523.63+930950.32</f>
        <v>1795365.2</v>
      </c>
      <c r="AJ838" s="30">
        <v>0</v>
      </c>
    </row>
    <row r="839" spans="1:36" ht="279" customHeight="1" x14ac:dyDescent="0.25">
      <c r="A839" s="6">
        <v>836</v>
      </c>
      <c r="B839" s="31">
        <v>130073</v>
      </c>
      <c r="C839" s="31">
        <v>740</v>
      </c>
      <c r="D839" s="177" t="s">
        <v>143</v>
      </c>
      <c r="E839" s="82" t="s">
        <v>1056</v>
      </c>
      <c r="F839" s="31" t="s">
        <v>1387</v>
      </c>
      <c r="G839" s="11" t="s">
        <v>1385</v>
      </c>
      <c r="H839" s="8" t="s">
        <v>151</v>
      </c>
      <c r="I839" s="177" t="s">
        <v>1386</v>
      </c>
      <c r="J839" s="25">
        <v>43802</v>
      </c>
      <c r="K839" s="25">
        <v>45263</v>
      </c>
      <c r="L839" s="26">
        <f t="shared" si="287"/>
        <v>83.983862961011212</v>
      </c>
      <c r="M839" s="11" t="s">
        <v>1343</v>
      </c>
      <c r="N839" s="11" t="s">
        <v>261</v>
      </c>
      <c r="O839" s="11" t="s">
        <v>137</v>
      </c>
      <c r="P839" s="27" t="s">
        <v>138</v>
      </c>
      <c r="Q839" s="11" t="s">
        <v>1344</v>
      </c>
      <c r="R839" s="1">
        <f t="shared" si="289"/>
        <v>10894851.470000001</v>
      </c>
      <c r="S839" s="2">
        <v>8785748.4900000002</v>
      </c>
      <c r="T839" s="2">
        <v>2109102.98</v>
      </c>
      <c r="U839" s="1">
        <f t="shared" si="290"/>
        <v>1818250.86</v>
      </c>
      <c r="V839" s="28">
        <v>1343702.7100000002</v>
      </c>
      <c r="W839" s="28">
        <v>474548.14999999991</v>
      </c>
      <c r="X839" s="1">
        <f t="shared" si="291"/>
        <v>259451.07</v>
      </c>
      <c r="Y839" s="2">
        <v>206723.48</v>
      </c>
      <c r="Z839" s="2">
        <v>52727.59</v>
      </c>
      <c r="AA839" s="2">
        <v>0</v>
      </c>
      <c r="AB839" s="2">
        <v>0</v>
      </c>
      <c r="AC839" s="2">
        <v>0</v>
      </c>
      <c r="AD839" s="16">
        <f t="shared" si="296"/>
        <v>12972553.4</v>
      </c>
      <c r="AE839" s="2">
        <v>0</v>
      </c>
      <c r="AF839" s="2">
        <f t="shared" si="293"/>
        <v>12972553.4</v>
      </c>
      <c r="AG839" s="38" t="s">
        <v>486</v>
      </c>
      <c r="AH839" s="29" t="s">
        <v>2537</v>
      </c>
      <c r="AI839" s="30">
        <f>1307041.33-38227.08-43432.3-27216.51-57513.13+2848385.22-74102.87-107394.75+1355367.7+999407.97-132735.19</f>
        <v>6029580.3899999997</v>
      </c>
      <c r="AJ839" s="30">
        <f>22158.67+38227.08+43432.3+27216.51+57513.13+261896.93+74102.87+107394.75+14410.55+166792.03+132735.19</f>
        <v>945880.01</v>
      </c>
    </row>
    <row r="840" spans="1:36" ht="279" customHeight="1" x14ac:dyDescent="0.25">
      <c r="A840" s="6">
        <v>837</v>
      </c>
      <c r="B840" s="31">
        <v>129751</v>
      </c>
      <c r="C840" s="31">
        <v>719</v>
      </c>
      <c r="D840" s="177" t="s">
        <v>143</v>
      </c>
      <c r="E840" s="82" t="s">
        <v>1056</v>
      </c>
      <c r="F840" s="31" t="s">
        <v>1389</v>
      </c>
      <c r="G840" s="11" t="s">
        <v>1353</v>
      </c>
      <c r="H840" s="11" t="s">
        <v>1984</v>
      </c>
      <c r="I840" s="177" t="s">
        <v>1390</v>
      </c>
      <c r="J840" s="25">
        <v>43808</v>
      </c>
      <c r="K840" s="25">
        <v>45269</v>
      </c>
      <c r="L840" s="26">
        <f t="shared" si="287"/>
        <v>83.983863268739327</v>
      </c>
      <c r="M840" s="11" t="s">
        <v>1343</v>
      </c>
      <c r="N840" s="11" t="s">
        <v>261</v>
      </c>
      <c r="O840" s="11" t="s">
        <v>137</v>
      </c>
      <c r="P840" s="27" t="s">
        <v>138</v>
      </c>
      <c r="Q840" s="11" t="s">
        <v>1344</v>
      </c>
      <c r="R840" s="1">
        <f t="shared" si="289"/>
        <v>12249086.770000001</v>
      </c>
      <c r="S840" s="2">
        <v>9877821.2400000002</v>
      </c>
      <c r="T840" s="2">
        <v>2371265.5300000007</v>
      </c>
      <c r="U840" s="1">
        <f t="shared" si="290"/>
        <v>0</v>
      </c>
      <c r="V840" s="28">
        <v>0</v>
      </c>
      <c r="W840" s="28">
        <v>0</v>
      </c>
      <c r="X840" s="1">
        <f t="shared" si="291"/>
        <v>2335961.23</v>
      </c>
      <c r="Y840" s="2">
        <v>1743144.91</v>
      </c>
      <c r="Z840" s="2">
        <v>592816.31999999995</v>
      </c>
      <c r="AA840" s="2">
        <v>0</v>
      </c>
      <c r="AB840" s="2">
        <v>0</v>
      </c>
      <c r="AC840" s="2">
        <v>0</v>
      </c>
      <c r="AD840" s="16">
        <f t="shared" si="296"/>
        <v>14585048.000000002</v>
      </c>
      <c r="AE840" s="2">
        <v>0</v>
      </c>
      <c r="AF840" s="2">
        <f t="shared" si="293"/>
        <v>14585048.000000002</v>
      </c>
      <c r="AG840" s="38" t="s">
        <v>486</v>
      </c>
      <c r="AH840" s="29" t="s">
        <v>1983</v>
      </c>
      <c r="AI840" s="30">
        <f>5479.11+803013.38+1418.49+33093.84+127932.05+539731.54+192111.07+1523029.71</f>
        <v>3225809.1900000004</v>
      </c>
      <c r="AJ840" s="30">
        <v>0</v>
      </c>
    </row>
    <row r="841" spans="1:36" ht="279" customHeight="1" x14ac:dyDescent="0.25">
      <c r="A841" s="6">
        <v>838</v>
      </c>
      <c r="B841" s="31">
        <v>128013</v>
      </c>
      <c r="C841" s="11">
        <v>593</v>
      </c>
      <c r="D841" s="177" t="s">
        <v>143</v>
      </c>
      <c r="E841" s="82" t="s">
        <v>979</v>
      </c>
      <c r="F841" s="31" t="s">
        <v>1396</v>
      </c>
      <c r="G841" s="11" t="s">
        <v>1397</v>
      </c>
      <c r="H841" s="11" t="s">
        <v>1398</v>
      </c>
      <c r="I841" s="33" t="s">
        <v>3018</v>
      </c>
      <c r="J841" s="25">
        <v>43817</v>
      </c>
      <c r="K841" s="25">
        <v>45248</v>
      </c>
      <c r="L841" s="26">
        <f t="shared" si="287"/>
        <v>83.983862832153392</v>
      </c>
      <c r="M841" s="11" t="s">
        <v>1343</v>
      </c>
      <c r="N841" s="11" t="s">
        <v>261</v>
      </c>
      <c r="O841" s="11" t="s">
        <v>137</v>
      </c>
      <c r="P841" s="27" t="s">
        <v>138</v>
      </c>
      <c r="Q841" s="11" t="s">
        <v>1344</v>
      </c>
      <c r="R841" s="1">
        <f t="shared" si="289"/>
        <v>25152543.590000004</v>
      </c>
      <c r="S841" s="2">
        <v>20283335.010000002</v>
      </c>
      <c r="T841" s="2">
        <v>4869208.58</v>
      </c>
      <c r="U841" s="1">
        <f t="shared" si="290"/>
        <v>1562953.45</v>
      </c>
      <c r="V841" s="28">
        <v>1155035.78</v>
      </c>
      <c r="W841" s="28">
        <v>407917.67</v>
      </c>
      <c r="X841" s="1">
        <f t="shared" si="291"/>
        <v>3233760.76</v>
      </c>
      <c r="Y841" s="2">
        <v>2424376.25</v>
      </c>
      <c r="Z841" s="2">
        <v>809384.51</v>
      </c>
      <c r="AA841" s="2">
        <v>0</v>
      </c>
      <c r="AB841" s="2">
        <v>0</v>
      </c>
      <c r="AC841" s="2">
        <v>0</v>
      </c>
      <c r="AD841" s="16">
        <f t="shared" si="296"/>
        <v>29949257.800000004</v>
      </c>
      <c r="AE841" s="2">
        <v>0</v>
      </c>
      <c r="AF841" s="2">
        <f t="shared" si="293"/>
        <v>29949257.800000004</v>
      </c>
      <c r="AG841" s="38" t="s">
        <v>486</v>
      </c>
      <c r="AH841" s="29" t="s">
        <v>2254</v>
      </c>
      <c r="AI841" s="30">
        <v>0</v>
      </c>
      <c r="AJ841" s="30">
        <v>0</v>
      </c>
    </row>
    <row r="842" spans="1:36" ht="171" customHeight="1" x14ac:dyDescent="0.25">
      <c r="A842" s="6">
        <v>839</v>
      </c>
      <c r="B842" s="31">
        <v>127465</v>
      </c>
      <c r="C842" s="31">
        <v>594</v>
      </c>
      <c r="D842" s="177" t="s">
        <v>143</v>
      </c>
      <c r="E842" s="82" t="s">
        <v>979</v>
      </c>
      <c r="F842" s="31" t="s">
        <v>1399</v>
      </c>
      <c r="G842" s="11" t="s">
        <v>1397</v>
      </c>
      <c r="H842" s="32" t="s">
        <v>1400</v>
      </c>
      <c r="I842" s="33" t="s">
        <v>3019</v>
      </c>
      <c r="J842" s="25">
        <v>43817</v>
      </c>
      <c r="K842" s="25">
        <v>45034</v>
      </c>
      <c r="L842" s="26">
        <f t="shared" si="287"/>
        <v>83.983863696765596</v>
      </c>
      <c r="M842" s="11" t="s">
        <v>1343</v>
      </c>
      <c r="N842" s="11" t="s">
        <v>261</v>
      </c>
      <c r="O842" s="11" t="s">
        <v>137</v>
      </c>
      <c r="P842" s="27" t="s">
        <v>138</v>
      </c>
      <c r="Q842" s="11" t="s">
        <v>1344</v>
      </c>
      <c r="R842" s="1">
        <f t="shared" si="289"/>
        <v>12185638.089999998</v>
      </c>
      <c r="S842" s="2">
        <v>9826655.4199999981</v>
      </c>
      <c r="T842" s="2">
        <v>2358982.6700000004</v>
      </c>
      <c r="U842" s="1">
        <f t="shared" si="290"/>
        <v>378009.1399999999</v>
      </c>
      <c r="V842" s="28">
        <v>279351.9599999999</v>
      </c>
      <c r="W842" s="28">
        <v>98657.18</v>
      </c>
      <c r="X842" s="1">
        <f t="shared" si="291"/>
        <v>1945852.04</v>
      </c>
      <c r="Y842" s="2">
        <v>1454763.61</v>
      </c>
      <c r="Z842" s="2">
        <v>491088.43</v>
      </c>
      <c r="AA842" s="2">
        <f>AB842+AC842</f>
        <v>0</v>
      </c>
      <c r="AB842" s="2">
        <v>0</v>
      </c>
      <c r="AC842" s="2">
        <v>0</v>
      </c>
      <c r="AD842" s="16">
        <f t="shared" si="296"/>
        <v>14509499.27</v>
      </c>
      <c r="AE842" s="2">
        <v>0</v>
      </c>
      <c r="AF842" s="2">
        <f t="shared" si="293"/>
        <v>14509499.27</v>
      </c>
      <c r="AG842" s="38" t="s">
        <v>486</v>
      </c>
      <c r="AH842" s="29" t="s">
        <v>3092</v>
      </c>
      <c r="AI842" s="30">
        <f>487906.23+763317.08+465485.1+555858.59+806980.21+689889.1+1084668.61+2245498.53+1374276.08+493129.39+803027.07</f>
        <v>9770035.9900000002</v>
      </c>
      <c r="AJ842" s="30">
        <f>24029.1+31800.36+7428.8+24992.88+36585.59+22948.98+43740.48+22982.59+15439.07+11955.8+12980.81</f>
        <v>254884.46</v>
      </c>
    </row>
    <row r="843" spans="1:36" ht="279" customHeight="1" x14ac:dyDescent="0.25">
      <c r="A843" s="6">
        <v>840</v>
      </c>
      <c r="B843" s="31">
        <v>127579</v>
      </c>
      <c r="C843" s="31">
        <v>610</v>
      </c>
      <c r="D843" s="177" t="s">
        <v>143</v>
      </c>
      <c r="E843" s="82" t="s">
        <v>979</v>
      </c>
      <c r="F843" s="31" t="s">
        <v>1401</v>
      </c>
      <c r="G843" s="11" t="s">
        <v>1397</v>
      </c>
      <c r="H843" s="32" t="s">
        <v>1402</v>
      </c>
      <c r="I843" s="33" t="s">
        <v>3020</v>
      </c>
      <c r="J843" s="25">
        <v>43817</v>
      </c>
      <c r="K843" s="25">
        <v>44944</v>
      </c>
      <c r="L843" s="26">
        <f t="shared" si="287"/>
        <v>83.983862949682958</v>
      </c>
      <c r="M843" s="11" t="s">
        <v>1343</v>
      </c>
      <c r="N843" s="11" t="s">
        <v>261</v>
      </c>
      <c r="O843" s="11" t="s">
        <v>137</v>
      </c>
      <c r="P843" s="27" t="s">
        <v>138</v>
      </c>
      <c r="Q843" s="11" t="s">
        <v>1344</v>
      </c>
      <c r="R843" s="1">
        <f t="shared" si="289"/>
        <v>14412959.909999998</v>
      </c>
      <c r="S843" s="2">
        <v>11622796.469999999</v>
      </c>
      <c r="T843" s="2">
        <v>2790163.439999999</v>
      </c>
      <c r="U843" s="1">
        <f t="shared" si="290"/>
        <v>488856.25999999995</v>
      </c>
      <c r="V843" s="28">
        <v>361268.92999999993</v>
      </c>
      <c r="W843" s="28">
        <v>127587.33</v>
      </c>
      <c r="X843" s="1">
        <f t="shared" si="291"/>
        <v>2259766.31</v>
      </c>
      <c r="Y843" s="2">
        <v>1689812.74</v>
      </c>
      <c r="Z843" s="2">
        <v>569953.56999999995</v>
      </c>
      <c r="AA843" s="2">
        <f>AB843+AC843</f>
        <v>0</v>
      </c>
      <c r="AB843" s="2">
        <v>0</v>
      </c>
      <c r="AC843" s="2">
        <v>0</v>
      </c>
      <c r="AD843" s="16">
        <f t="shared" si="296"/>
        <v>17161582.479999997</v>
      </c>
      <c r="AE843" s="2">
        <v>0</v>
      </c>
      <c r="AF843" s="2">
        <f t="shared" si="293"/>
        <v>17161582.479999997</v>
      </c>
      <c r="AG843" s="38" t="s">
        <v>486</v>
      </c>
      <c r="AH843" s="29" t="s">
        <v>2063</v>
      </c>
      <c r="AI843" s="30">
        <f>130139.18+185592.98+455227.72+446096.57+278816.11+494928.6+2415576.21+367916.03+900801.12+1989661.86</f>
        <v>7664756.3800000008</v>
      </c>
      <c r="AJ843" s="30">
        <f>14582.67+13439.8+31835.77+41361.65+21148.02+56798.48+53525.62+12502.68+38528.04+30901.97</f>
        <v>314624.69999999995</v>
      </c>
    </row>
    <row r="844" spans="1:36" ht="279" customHeight="1" x14ac:dyDescent="0.25">
      <c r="A844" s="6">
        <v>841</v>
      </c>
      <c r="B844" s="31">
        <v>129170</v>
      </c>
      <c r="C844" s="31">
        <v>724</v>
      </c>
      <c r="D844" s="177" t="s">
        <v>143</v>
      </c>
      <c r="E844" s="82" t="s">
        <v>1056</v>
      </c>
      <c r="F844" s="31" t="s">
        <v>1406</v>
      </c>
      <c r="G844" s="11" t="s">
        <v>55</v>
      </c>
      <c r="H844" s="32" t="s">
        <v>1407</v>
      </c>
      <c r="I844" s="33" t="s">
        <v>1876</v>
      </c>
      <c r="J844" s="25">
        <v>43819</v>
      </c>
      <c r="K844" s="25">
        <v>44915</v>
      </c>
      <c r="L844" s="26">
        <f t="shared" si="287"/>
        <v>83.983863218572864</v>
      </c>
      <c r="M844" s="11" t="s">
        <v>1343</v>
      </c>
      <c r="N844" s="11" t="s">
        <v>261</v>
      </c>
      <c r="O844" s="11" t="s">
        <v>137</v>
      </c>
      <c r="P844" s="27" t="s">
        <v>138</v>
      </c>
      <c r="Q844" s="11" t="s">
        <v>1344</v>
      </c>
      <c r="R844" s="1">
        <f t="shared" si="289"/>
        <v>19868936.969999999</v>
      </c>
      <c r="S844" s="2">
        <v>16022566.539999999</v>
      </c>
      <c r="T844" s="2">
        <v>3846370.43</v>
      </c>
      <c r="U844" s="1">
        <f t="shared" si="290"/>
        <v>1348294.18</v>
      </c>
      <c r="V844" s="28">
        <v>996400.74</v>
      </c>
      <c r="W844" s="28">
        <v>351893.44</v>
      </c>
      <c r="X844" s="1">
        <f t="shared" si="291"/>
        <v>2440810.06</v>
      </c>
      <c r="Y844" s="2">
        <v>1831110.97</v>
      </c>
      <c r="Z844" s="2">
        <v>609699.09</v>
      </c>
      <c r="AA844" s="2">
        <f>AB844+AC844</f>
        <v>0</v>
      </c>
      <c r="AB844" s="2">
        <v>0</v>
      </c>
      <c r="AC844" s="2">
        <v>0</v>
      </c>
      <c r="AD844" s="16">
        <f t="shared" si="296"/>
        <v>23658041.209999997</v>
      </c>
      <c r="AE844" s="2">
        <v>0</v>
      </c>
      <c r="AF844" s="2">
        <f t="shared" si="293"/>
        <v>23658041.209999997</v>
      </c>
      <c r="AG844" s="38" t="s">
        <v>486</v>
      </c>
      <c r="AH844" s="29"/>
      <c r="AI844" s="30">
        <f>57948.86+247162.83+251292.32+1050536.25+2456366.06+2013781.03</f>
        <v>6077087.3500000006</v>
      </c>
      <c r="AJ844" s="30">
        <f>9154.08+23419+115023.53+125968.5+168821.99</f>
        <v>442387.1</v>
      </c>
    </row>
    <row r="845" spans="1:36" ht="279" customHeight="1" x14ac:dyDescent="0.25">
      <c r="A845" s="6">
        <v>842</v>
      </c>
      <c r="B845" s="31">
        <v>127548</v>
      </c>
      <c r="C845" s="31">
        <v>591</v>
      </c>
      <c r="D845" s="177" t="s">
        <v>143</v>
      </c>
      <c r="E845" s="82" t="s">
        <v>979</v>
      </c>
      <c r="F845" s="31" t="s">
        <v>1409</v>
      </c>
      <c r="G845" s="11" t="s">
        <v>1410</v>
      </c>
      <c r="H845" s="8" t="s">
        <v>151</v>
      </c>
      <c r="I845" s="33" t="s">
        <v>1411</v>
      </c>
      <c r="J845" s="25">
        <v>43822</v>
      </c>
      <c r="K845" s="25">
        <v>45283</v>
      </c>
      <c r="L845" s="26">
        <f t="shared" si="287"/>
        <v>83.983862775942143</v>
      </c>
      <c r="M845" s="11" t="s">
        <v>1343</v>
      </c>
      <c r="N845" s="11" t="s">
        <v>261</v>
      </c>
      <c r="O845" s="11" t="s">
        <v>137</v>
      </c>
      <c r="P845" s="27" t="s">
        <v>138</v>
      </c>
      <c r="Q845" s="11" t="s">
        <v>1344</v>
      </c>
      <c r="R845" s="1">
        <f t="shared" si="289"/>
        <v>14146050.220000001</v>
      </c>
      <c r="S845" s="2">
        <v>11407557.030000001</v>
      </c>
      <c r="T845" s="2">
        <v>2738493.1899999995</v>
      </c>
      <c r="U845" s="1">
        <f t="shared" si="290"/>
        <v>0</v>
      </c>
      <c r="V845" s="28">
        <v>0</v>
      </c>
      <c r="W845" s="28">
        <v>0</v>
      </c>
      <c r="X845" s="1">
        <f t="shared" si="291"/>
        <v>2697721.6100000003</v>
      </c>
      <c r="Y845" s="2">
        <v>2013098.3</v>
      </c>
      <c r="Z845" s="2">
        <v>684623.31</v>
      </c>
      <c r="AA845" s="2">
        <f>AB845+AC845</f>
        <v>0</v>
      </c>
      <c r="AB845" s="2">
        <v>0</v>
      </c>
      <c r="AC845" s="2">
        <v>0</v>
      </c>
      <c r="AD845" s="16">
        <f t="shared" si="296"/>
        <v>16843771.830000002</v>
      </c>
      <c r="AE845" s="2">
        <v>0</v>
      </c>
      <c r="AF845" s="2">
        <f t="shared" si="293"/>
        <v>16843771.830000002</v>
      </c>
      <c r="AG845" s="38" t="s">
        <v>486</v>
      </c>
      <c r="AH845" s="29" t="s">
        <v>2179</v>
      </c>
      <c r="AI845" s="30">
        <f>12852.93+100262.57+75904.63+91562.57+86924.98+85284.77+138020.88</f>
        <v>590813.33000000007</v>
      </c>
      <c r="AJ845" s="30">
        <v>0</v>
      </c>
    </row>
    <row r="846" spans="1:36" ht="279" customHeight="1" x14ac:dyDescent="0.25">
      <c r="A846" s="6">
        <v>843</v>
      </c>
      <c r="B846" s="31">
        <v>130709</v>
      </c>
      <c r="C846" s="31">
        <v>753</v>
      </c>
      <c r="D846" s="177" t="s">
        <v>144</v>
      </c>
      <c r="E846" s="82" t="s">
        <v>1366</v>
      </c>
      <c r="F846" s="31" t="s">
        <v>1368</v>
      </c>
      <c r="G846" s="11" t="s">
        <v>1367</v>
      </c>
      <c r="H846" s="11" t="s">
        <v>1369</v>
      </c>
      <c r="I846" s="32" t="s">
        <v>1370</v>
      </c>
      <c r="J846" s="25">
        <v>43783</v>
      </c>
      <c r="K846" s="25">
        <v>45183</v>
      </c>
      <c r="L846" s="26">
        <f t="shared" si="287"/>
        <v>83.983862999050473</v>
      </c>
      <c r="M846" s="11" t="s">
        <v>1343</v>
      </c>
      <c r="N846" s="11" t="s">
        <v>261</v>
      </c>
      <c r="O846" s="11" t="s">
        <v>137</v>
      </c>
      <c r="P846" s="27" t="s">
        <v>138</v>
      </c>
      <c r="Q846" s="11" t="s">
        <v>1344</v>
      </c>
      <c r="R846" s="1">
        <f t="shared" si="289"/>
        <v>41902444.089999996</v>
      </c>
      <c r="S846" s="2">
        <v>33790670.389999993</v>
      </c>
      <c r="T846" s="2">
        <v>8111773.7000000002</v>
      </c>
      <c r="U846" s="1">
        <f t="shared" si="290"/>
        <v>0</v>
      </c>
      <c r="V846" s="28">
        <v>0</v>
      </c>
      <c r="W846" s="28">
        <v>0</v>
      </c>
      <c r="X846" s="1">
        <f t="shared" si="291"/>
        <v>7991002.8099999996</v>
      </c>
      <c r="Y846" s="2">
        <v>5963059.4199999999</v>
      </c>
      <c r="Z846" s="2">
        <v>2027943.39</v>
      </c>
      <c r="AA846" s="2">
        <v>0</v>
      </c>
      <c r="AB846" s="2">
        <v>0</v>
      </c>
      <c r="AC846" s="2">
        <v>0</v>
      </c>
      <c r="AD846" s="16">
        <f t="shared" si="296"/>
        <v>49893446.899999999</v>
      </c>
      <c r="AE846" s="2">
        <v>27762.36</v>
      </c>
      <c r="AF846" s="2">
        <f t="shared" si="293"/>
        <v>49921209.259999998</v>
      </c>
      <c r="AG846" s="38" t="s">
        <v>486</v>
      </c>
      <c r="AH846" s="29" t="s">
        <v>1783</v>
      </c>
      <c r="AI846" s="30">
        <f>564656.74+805645.99+3598507.54+928356.46+2746835.89+4251380.42+751222.12</f>
        <v>13646605.159999998</v>
      </c>
      <c r="AJ846" s="30">
        <v>0</v>
      </c>
    </row>
    <row r="847" spans="1:36" ht="279" customHeight="1" x14ac:dyDescent="0.25">
      <c r="A847" s="6">
        <v>844</v>
      </c>
      <c r="B847" s="31">
        <v>130048</v>
      </c>
      <c r="C847" s="31">
        <v>729</v>
      </c>
      <c r="D847" s="177" t="s">
        <v>143</v>
      </c>
      <c r="E847" s="82" t="s">
        <v>1056</v>
      </c>
      <c r="F847" s="31" t="s">
        <v>1422</v>
      </c>
      <c r="G847" s="11" t="s">
        <v>1423</v>
      </c>
      <c r="H847" s="11"/>
      <c r="I847" s="33" t="s">
        <v>3021</v>
      </c>
      <c r="J847" s="25">
        <v>43858</v>
      </c>
      <c r="K847" s="25">
        <v>45135</v>
      </c>
      <c r="L847" s="26">
        <f t="shared" ref="L847:L878" si="297">R847/AD847*100</f>
        <v>83.983862842436835</v>
      </c>
      <c r="M847" s="11" t="s">
        <v>1343</v>
      </c>
      <c r="N847" s="11" t="s">
        <v>261</v>
      </c>
      <c r="O847" s="11" t="s">
        <v>137</v>
      </c>
      <c r="P847" s="27" t="s">
        <v>138</v>
      </c>
      <c r="Q847" s="11" t="s">
        <v>1344</v>
      </c>
      <c r="R847" s="1">
        <f t="shared" ref="R847:R893" si="298">S847+T847</f>
        <v>85646819.920000002</v>
      </c>
      <c r="S847" s="2">
        <v>69066698.280000001</v>
      </c>
      <c r="T847" s="2">
        <v>16580121.640000001</v>
      </c>
      <c r="U847" s="1">
        <f t="shared" ref="U847:U893" si="299">V847+W847</f>
        <v>0</v>
      </c>
      <c r="V847" s="28">
        <v>0</v>
      </c>
      <c r="W847" s="28">
        <v>0</v>
      </c>
      <c r="X847" s="1">
        <f t="shared" ref="X847:X893" si="300">Y847+Z847</f>
        <v>16333271.279999999</v>
      </c>
      <c r="Y847" s="2">
        <v>12188240.859999999</v>
      </c>
      <c r="Z847" s="2">
        <v>4145030.42</v>
      </c>
      <c r="AA847" s="2">
        <f t="shared" ref="AA847:AA893" si="301">AB847+AC847</f>
        <v>0</v>
      </c>
      <c r="AB847" s="2">
        <v>0</v>
      </c>
      <c r="AC847" s="2">
        <v>0</v>
      </c>
      <c r="AD847" s="16">
        <f t="shared" si="296"/>
        <v>101980091.2</v>
      </c>
      <c r="AE847" s="2">
        <v>0</v>
      </c>
      <c r="AF847" s="2">
        <f t="shared" ref="AF847:AF893" si="302">AD847+AE847</f>
        <v>101980091.2</v>
      </c>
      <c r="AG847" s="38" t="s">
        <v>486</v>
      </c>
      <c r="AH847" s="29" t="s">
        <v>1929</v>
      </c>
      <c r="AI847" s="30">
        <f>49139.8+35424.39+151117.2+88973.34+157077.54+150417.62+346969.55+215067.56+193623.11+366807.79</f>
        <v>1754617.9</v>
      </c>
      <c r="AJ847" s="30">
        <v>0</v>
      </c>
    </row>
    <row r="848" spans="1:36" ht="375.75" customHeight="1" x14ac:dyDescent="0.25">
      <c r="A848" s="6">
        <v>845</v>
      </c>
      <c r="B848" s="31">
        <v>127559</v>
      </c>
      <c r="C848" s="31">
        <v>601</v>
      </c>
      <c r="D848" s="177" t="s">
        <v>143</v>
      </c>
      <c r="E848" s="82" t="s">
        <v>979</v>
      </c>
      <c r="F848" s="31" t="s">
        <v>1426</v>
      </c>
      <c r="G848" s="11" t="s">
        <v>1397</v>
      </c>
      <c r="H848" s="11" t="s">
        <v>1199</v>
      </c>
      <c r="I848" s="33" t="s">
        <v>3022</v>
      </c>
      <c r="J848" s="25">
        <v>43867</v>
      </c>
      <c r="K848" s="25">
        <v>45266</v>
      </c>
      <c r="L848" s="26">
        <f t="shared" si="297"/>
        <v>83.983863045863743</v>
      </c>
      <c r="M848" s="11" t="s">
        <v>1343</v>
      </c>
      <c r="N848" s="11" t="s">
        <v>261</v>
      </c>
      <c r="O848" s="11" t="s">
        <v>137</v>
      </c>
      <c r="P848" s="27" t="s">
        <v>138</v>
      </c>
      <c r="Q848" s="11" t="s">
        <v>1344</v>
      </c>
      <c r="R848" s="1">
        <f t="shared" si="298"/>
        <v>9288170.129999999</v>
      </c>
      <c r="S848" s="2">
        <v>7490100.0199999996</v>
      </c>
      <c r="T848" s="2">
        <v>1798070.11</v>
      </c>
      <c r="U848" s="1">
        <f t="shared" si="299"/>
        <v>735571.09</v>
      </c>
      <c r="V848" s="28">
        <v>543593.19999999995</v>
      </c>
      <c r="W848" s="28">
        <v>191977.89</v>
      </c>
      <c r="X848" s="1">
        <f t="shared" si="300"/>
        <v>1035728.77</v>
      </c>
      <c r="Y848" s="2">
        <v>778189.08</v>
      </c>
      <c r="Z848" s="2">
        <v>257539.69</v>
      </c>
      <c r="AA848" s="2">
        <f t="shared" si="301"/>
        <v>0</v>
      </c>
      <c r="AB848" s="2">
        <v>0</v>
      </c>
      <c r="AC848" s="2">
        <v>0</v>
      </c>
      <c r="AD848" s="16">
        <f t="shared" si="296"/>
        <v>11059469.989999998</v>
      </c>
      <c r="AE848" s="2">
        <v>0</v>
      </c>
      <c r="AF848" s="2">
        <f t="shared" si="302"/>
        <v>11059469.989999998</v>
      </c>
      <c r="AG848" s="38" t="s">
        <v>486</v>
      </c>
      <c r="AH848" s="29" t="s">
        <v>2167</v>
      </c>
      <c r="AI848" s="30">
        <f>259423.64+367235.74</f>
        <v>626659.38</v>
      </c>
      <c r="AJ848" s="30">
        <f>30036.58+3351.54</f>
        <v>33388.120000000003</v>
      </c>
    </row>
    <row r="849" spans="1:36" ht="375.75" customHeight="1" x14ac:dyDescent="0.25">
      <c r="A849" s="6">
        <v>846</v>
      </c>
      <c r="B849" s="31">
        <v>129439</v>
      </c>
      <c r="C849" s="31">
        <v>733</v>
      </c>
      <c r="D849" s="177" t="s">
        <v>143</v>
      </c>
      <c r="E849" s="82" t="s">
        <v>1056</v>
      </c>
      <c r="F849" s="31" t="s">
        <v>1428</v>
      </c>
      <c r="G849" s="11" t="s">
        <v>55</v>
      </c>
      <c r="H849" s="11" t="s">
        <v>1429</v>
      </c>
      <c r="I849" s="33" t="s">
        <v>1430</v>
      </c>
      <c r="J849" s="25">
        <v>43892</v>
      </c>
      <c r="K849" s="25">
        <v>44987</v>
      </c>
      <c r="L849" s="26">
        <f t="shared" si="297"/>
        <v>83.674685010841756</v>
      </c>
      <c r="M849" s="11" t="s">
        <v>1343</v>
      </c>
      <c r="N849" s="11" t="s">
        <v>261</v>
      </c>
      <c r="O849" s="11" t="s">
        <v>137</v>
      </c>
      <c r="P849" s="27" t="s">
        <v>138</v>
      </c>
      <c r="Q849" s="11" t="s">
        <v>1344</v>
      </c>
      <c r="R849" s="1">
        <f t="shared" si="298"/>
        <v>20986867.920000024</v>
      </c>
      <c r="S849" s="2">
        <v>16924080.510000024</v>
      </c>
      <c r="T849" s="2">
        <v>4062787.4099999983</v>
      </c>
      <c r="U849" s="1">
        <f t="shared" si="299"/>
        <v>724636.68999999971</v>
      </c>
      <c r="V849" s="28">
        <v>540739.60999999975</v>
      </c>
      <c r="W849" s="28">
        <v>183897.08</v>
      </c>
      <c r="X849" s="1">
        <f t="shared" si="300"/>
        <v>3277662.4800000004</v>
      </c>
      <c r="Y849" s="28">
        <v>2445862.7400000002</v>
      </c>
      <c r="Z849" s="28">
        <v>831799.74</v>
      </c>
      <c r="AA849" s="2">
        <f t="shared" si="301"/>
        <v>92335.06</v>
      </c>
      <c r="AB849" s="2">
        <v>73570.02</v>
      </c>
      <c r="AC849" s="2">
        <v>18765.04</v>
      </c>
      <c r="AD849" s="16">
        <f t="shared" si="296"/>
        <v>25081502.150000025</v>
      </c>
      <c r="AE849" s="2">
        <v>0</v>
      </c>
      <c r="AF849" s="2">
        <f t="shared" si="302"/>
        <v>25081502.150000025</v>
      </c>
      <c r="AG849" s="38" t="s">
        <v>486</v>
      </c>
      <c r="AH849" s="29" t="s">
        <v>1832</v>
      </c>
      <c r="AI849" s="30">
        <f>136005-607.39+307819.33+278885.5+644256.78+402297.58+276349.48+213618.51+439668.03+640661.2</f>
        <v>3338954.0200000005</v>
      </c>
      <c r="AJ849" s="30">
        <f>13919.68+26307.53+17343.02+36825.52+37718.75+8712.05+27171.57+37727.89+33275.55</f>
        <v>239001.56</v>
      </c>
    </row>
    <row r="850" spans="1:36" ht="173.25" x14ac:dyDescent="0.25">
      <c r="A850" s="6">
        <v>847</v>
      </c>
      <c r="B850" s="31">
        <v>129990</v>
      </c>
      <c r="C850" s="31">
        <v>705</v>
      </c>
      <c r="D850" s="177" t="s">
        <v>143</v>
      </c>
      <c r="E850" s="82" t="s">
        <v>1056</v>
      </c>
      <c r="F850" s="31" t="s">
        <v>1556</v>
      </c>
      <c r="G850" s="11" t="s">
        <v>1555</v>
      </c>
      <c r="H850" s="8" t="s">
        <v>151</v>
      </c>
      <c r="I850" s="33" t="s">
        <v>3023</v>
      </c>
      <c r="J850" s="25">
        <v>44014</v>
      </c>
      <c r="K850" s="25">
        <v>44897</v>
      </c>
      <c r="L850" s="26">
        <f t="shared" si="297"/>
        <v>83.983862901115401</v>
      </c>
      <c r="M850" s="11" t="s">
        <v>1343</v>
      </c>
      <c r="N850" s="11" t="s">
        <v>261</v>
      </c>
      <c r="O850" s="11" t="s">
        <v>137</v>
      </c>
      <c r="P850" s="27" t="s">
        <v>138</v>
      </c>
      <c r="Q850" s="11" t="s">
        <v>1344</v>
      </c>
      <c r="R850" s="1">
        <f t="shared" si="298"/>
        <v>16144444.26</v>
      </c>
      <c r="S850" s="2">
        <v>13019087.710000001</v>
      </c>
      <c r="T850" s="2">
        <v>3125356.5499999993</v>
      </c>
      <c r="U850" s="1">
        <f t="shared" si="299"/>
        <v>2694359.81</v>
      </c>
      <c r="V850" s="28">
        <v>1991154.59</v>
      </c>
      <c r="W850" s="28">
        <v>703205.21999999986</v>
      </c>
      <c r="X850" s="1">
        <f t="shared" si="300"/>
        <v>384465.38</v>
      </c>
      <c r="Y850" s="28">
        <v>306331.46000000002</v>
      </c>
      <c r="Z850" s="28">
        <v>78133.919999999998</v>
      </c>
      <c r="AA850" s="2">
        <f t="shared" si="301"/>
        <v>0</v>
      </c>
      <c r="AB850" s="2">
        <v>0</v>
      </c>
      <c r="AC850" s="2">
        <v>0</v>
      </c>
      <c r="AD850" s="16">
        <f t="shared" si="296"/>
        <v>19223269.449999999</v>
      </c>
      <c r="AE850" s="2">
        <v>0</v>
      </c>
      <c r="AF850" s="2">
        <f t="shared" si="302"/>
        <v>19223269.449999999</v>
      </c>
      <c r="AG850" s="38" t="s">
        <v>486</v>
      </c>
      <c r="AH850" s="29" t="s">
        <v>3187</v>
      </c>
      <c r="AI850" s="30">
        <f>246923.22+195477.64+569003.02+318383.67+752930.88</f>
        <v>2082718.4300000002</v>
      </c>
      <c r="AJ850" s="30">
        <f>41209.23+32623.41+94961.39+53135.31+125657.26</f>
        <v>347586.6</v>
      </c>
    </row>
    <row r="851" spans="1:36" ht="141.75" x14ac:dyDescent="0.25">
      <c r="A851" s="6">
        <v>848</v>
      </c>
      <c r="B851" s="31">
        <v>135331</v>
      </c>
      <c r="C851" s="31">
        <v>763</v>
      </c>
      <c r="D851" s="177" t="s">
        <v>145</v>
      </c>
      <c r="E851" s="82" t="s">
        <v>1179</v>
      </c>
      <c r="F851" s="31" t="s">
        <v>1583</v>
      </c>
      <c r="G851" s="11" t="s">
        <v>122</v>
      </c>
      <c r="H851" s="11" t="s">
        <v>1584</v>
      </c>
      <c r="I851" s="33" t="s">
        <v>3024</v>
      </c>
      <c r="J851" s="25">
        <v>44022</v>
      </c>
      <c r="K851" s="25">
        <v>45117</v>
      </c>
      <c r="L851" s="26">
        <f t="shared" si="297"/>
        <v>83.983862244196644</v>
      </c>
      <c r="M851" s="11" t="s">
        <v>1343</v>
      </c>
      <c r="N851" s="11" t="s">
        <v>261</v>
      </c>
      <c r="O851" s="11" t="s">
        <v>137</v>
      </c>
      <c r="P851" s="27" t="s">
        <v>138</v>
      </c>
      <c r="Q851" s="11" t="s">
        <v>34</v>
      </c>
      <c r="R851" s="1">
        <f t="shared" si="298"/>
        <v>3218611.31</v>
      </c>
      <c r="S851" s="2">
        <v>2595529.63</v>
      </c>
      <c r="T851" s="2">
        <v>623081.68000000005</v>
      </c>
      <c r="U851" s="1">
        <f t="shared" si="299"/>
        <v>0</v>
      </c>
      <c r="V851" s="28">
        <v>0</v>
      </c>
      <c r="W851" s="28">
        <v>0</v>
      </c>
      <c r="X851" s="1">
        <f t="shared" si="300"/>
        <v>613805.09</v>
      </c>
      <c r="Y851" s="28">
        <v>458034.63</v>
      </c>
      <c r="Z851" s="28">
        <v>155770.46</v>
      </c>
      <c r="AA851" s="2">
        <f t="shared" si="301"/>
        <v>0</v>
      </c>
      <c r="AB851" s="2">
        <v>0</v>
      </c>
      <c r="AC851" s="2">
        <v>0</v>
      </c>
      <c r="AD851" s="16">
        <f t="shared" si="296"/>
        <v>3832416.4</v>
      </c>
      <c r="AE851" s="2">
        <v>79730</v>
      </c>
      <c r="AF851" s="2">
        <f t="shared" si="302"/>
        <v>3912146.4</v>
      </c>
      <c r="AG851" s="38" t="s">
        <v>486</v>
      </c>
      <c r="AH851" s="29" t="s">
        <v>2346</v>
      </c>
      <c r="AI851" s="30">
        <f>11666.2+16032.52+23659.93+43482.93+43041.68+19548.09+31323.46</f>
        <v>188754.81</v>
      </c>
      <c r="AJ851" s="30">
        <v>0</v>
      </c>
    </row>
    <row r="852" spans="1:36" ht="141.75" x14ac:dyDescent="0.25">
      <c r="A852" s="6">
        <v>849</v>
      </c>
      <c r="B852" s="31">
        <v>133609</v>
      </c>
      <c r="C852" s="31">
        <v>756</v>
      </c>
      <c r="D852" s="177" t="s">
        <v>145</v>
      </c>
      <c r="E852" s="82" t="s">
        <v>1179</v>
      </c>
      <c r="F852" s="31" t="s">
        <v>1597</v>
      </c>
      <c r="G852" s="11" t="s">
        <v>99</v>
      </c>
      <c r="H852" s="11" t="s">
        <v>1584</v>
      </c>
      <c r="I852" s="33" t="s">
        <v>1598</v>
      </c>
      <c r="J852" s="25">
        <v>44041</v>
      </c>
      <c r="K852" s="25">
        <v>45289</v>
      </c>
      <c r="L852" s="26">
        <f t="shared" si="297"/>
        <v>83.983862912035761</v>
      </c>
      <c r="M852" s="11" t="s">
        <v>1343</v>
      </c>
      <c r="N852" s="11" t="s">
        <v>261</v>
      </c>
      <c r="O852" s="11" t="s">
        <v>137</v>
      </c>
      <c r="P852" s="27" t="s">
        <v>138</v>
      </c>
      <c r="Q852" s="11" t="s">
        <v>34</v>
      </c>
      <c r="R852" s="1">
        <f t="shared" si="298"/>
        <v>15409396.120000001</v>
      </c>
      <c r="S852" s="2">
        <v>12426335.420000002</v>
      </c>
      <c r="T852" s="2">
        <v>2983060.7</v>
      </c>
      <c r="U852" s="1">
        <f t="shared" si="299"/>
        <v>0</v>
      </c>
      <c r="V852" s="28">
        <v>0</v>
      </c>
      <c r="W852" s="28">
        <v>0</v>
      </c>
      <c r="X852" s="1">
        <f t="shared" si="300"/>
        <v>2938647.88</v>
      </c>
      <c r="Y852" s="28">
        <v>2192882.71</v>
      </c>
      <c r="Z852" s="28">
        <v>745765.17</v>
      </c>
      <c r="AA852" s="2">
        <f t="shared" si="301"/>
        <v>0</v>
      </c>
      <c r="AB852" s="2">
        <v>0</v>
      </c>
      <c r="AC852" s="2">
        <v>0</v>
      </c>
      <c r="AD852" s="16">
        <f t="shared" si="296"/>
        <v>18348044</v>
      </c>
      <c r="AE852" s="2">
        <v>0</v>
      </c>
      <c r="AF852" s="2">
        <f t="shared" si="302"/>
        <v>18348044</v>
      </c>
      <c r="AG852" s="38" t="s">
        <v>486</v>
      </c>
      <c r="AH852" s="29" t="s">
        <v>3230</v>
      </c>
      <c r="AI852" s="30">
        <f>4635.91+75233.17+88898.76</f>
        <v>168767.84</v>
      </c>
      <c r="AJ852" s="30">
        <v>0</v>
      </c>
    </row>
    <row r="853" spans="1:36" ht="141.75" x14ac:dyDescent="0.25">
      <c r="A853" s="6">
        <v>850</v>
      </c>
      <c r="B853" s="31">
        <v>135225</v>
      </c>
      <c r="C853" s="11">
        <v>760</v>
      </c>
      <c r="D853" s="177" t="s">
        <v>145</v>
      </c>
      <c r="E853" s="82" t="s">
        <v>1179</v>
      </c>
      <c r="F853" s="11" t="s">
        <v>1600</v>
      </c>
      <c r="G853" s="11" t="s">
        <v>810</v>
      </c>
      <c r="H853" s="8" t="s">
        <v>151</v>
      </c>
      <c r="I853" s="12" t="s">
        <v>1601</v>
      </c>
      <c r="J853" s="25">
        <v>44047</v>
      </c>
      <c r="K853" s="25">
        <v>45142</v>
      </c>
      <c r="L853" s="26">
        <f t="shared" si="297"/>
        <v>83.983862967148042</v>
      </c>
      <c r="M853" s="11" t="s">
        <v>1343</v>
      </c>
      <c r="N853" s="11" t="s">
        <v>261</v>
      </c>
      <c r="O853" s="11" t="s">
        <v>137</v>
      </c>
      <c r="P853" s="27" t="s">
        <v>138</v>
      </c>
      <c r="Q853" s="11" t="s">
        <v>34</v>
      </c>
      <c r="R853" s="1">
        <f t="shared" si="298"/>
        <v>15620059.060000001</v>
      </c>
      <c r="S853" s="2">
        <v>12596216.710000001</v>
      </c>
      <c r="T853" s="2">
        <v>3023842.35</v>
      </c>
      <c r="U853" s="1">
        <f t="shared" si="299"/>
        <v>0</v>
      </c>
      <c r="V853" s="28">
        <v>0</v>
      </c>
      <c r="W853" s="28">
        <v>0</v>
      </c>
      <c r="X853" s="1">
        <f t="shared" si="300"/>
        <v>2978822.33</v>
      </c>
      <c r="Y853" s="28">
        <v>2222861.7799999998</v>
      </c>
      <c r="Z853" s="28">
        <v>755960.55</v>
      </c>
      <c r="AA853" s="2">
        <f t="shared" si="301"/>
        <v>0</v>
      </c>
      <c r="AB853" s="2">
        <v>0</v>
      </c>
      <c r="AC853" s="2">
        <v>0</v>
      </c>
      <c r="AD853" s="16">
        <f t="shared" si="296"/>
        <v>18598881.390000001</v>
      </c>
      <c r="AE853" s="2">
        <v>0</v>
      </c>
      <c r="AF853" s="2">
        <f t="shared" si="302"/>
        <v>18598881.390000001</v>
      </c>
      <c r="AG853" s="38" t="s">
        <v>486</v>
      </c>
      <c r="AH853" s="29"/>
      <c r="AI853" s="30">
        <f>36440.6+102869.06+91428.19+210128.27+347717.23+236122.81+213337.49+322206.29</f>
        <v>1560249.94</v>
      </c>
      <c r="AJ853" s="30">
        <v>0</v>
      </c>
    </row>
    <row r="854" spans="1:36" ht="204.75" x14ac:dyDescent="0.25">
      <c r="A854" s="6">
        <v>851</v>
      </c>
      <c r="B854" s="31">
        <v>133850</v>
      </c>
      <c r="C854" s="31">
        <v>761</v>
      </c>
      <c r="D854" s="177" t="s">
        <v>145</v>
      </c>
      <c r="E854" s="82" t="s">
        <v>1179</v>
      </c>
      <c r="F854" s="31" t="s">
        <v>1602</v>
      </c>
      <c r="G854" s="11" t="s">
        <v>810</v>
      </c>
      <c r="H854" s="11" t="s">
        <v>1584</v>
      </c>
      <c r="I854" s="33" t="s">
        <v>1603</v>
      </c>
      <c r="J854" s="25">
        <v>44047</v>
      </c>
      <c r="K854" s="25">
        <v>45142</v>
      </c>
      <c r="L854" s="26">
        <f t="shared" si="297"/>
        <v>83.983863128517754</v>
      </c>
      <c r="M854" s="11" t="s">
        <v>1343</v>
      </c>
      <c r="N854" s="11" t="s">
        <v>261</v>
      </c>
      <c r="O854" s="11" t="s">
        <v>137</v>
      </c>
      <c r="P854" s="27" t="s">
        <v>138</v>
      </c>
      <c r="Q854" s="11" t="s">
        <v>34</v>
      </c>
      <c r="R854" s="1">
        <f t="shared" si="298"/>
        <v>12939698.83</v>
      </c>
      <c r="S854" s="2">
        <v>10434739.720000001</v>
      </c>
      <c r="T854" s="2">
        <v>2504959.11</v>
      </c>
      <c r="U854" s="1">
        <f t="shared" si="299"/>
        <v>0</v>
      </c>
      <c r="V854" s="28">
        <v>0</v>
      </c>
      <c r="W854" s="28">
        <v>0</v>
      </c>
      <c r="X854" s="1">
        <f t="shared" si="300"/>
        <v>2467664.38</v>
      </c>
      <c r="Y854" s="28">
        <v>1841424.63</v>
      </c>
      <c r="Z854" s="28">
        <v>626239.75</v>
      </c>
      <c r="AA854" s="2">
        <f t="shared" si="301"/>
        <v>0</v>
      </c>
      <c r="AB854" s="2">
        <v>0</v>
      </c>
      <c r="AC854" s="2">
        <v>0</v>
      </c>
      <c r="AD854" s="16">
        <f t="shared" si="296"/>
        <v>15407363.210000001</v>
      </c>
      <c r="AE854" s="2">
        <v>0</v>
      </c>
      <c r="AF854" s="2">
        <f t="shared" si="302"/>
        <v>15407363.210000001</v>
      </c>
      <c r="AG854" s="38" t="s">
        <v>486</v>
      </c>
      <c r="AH854" s="29" t="s">
        <v>1767</v>
      </c>
      <c r="AI854" s="30">
        <f>61477.87+197727.26+736356.24+414415.68+844223.58+289442.35+75873.71+102536.92</f>
        <v>2722053.61</v>
      </c>
      <c r="AJ854" s="30">
        <v>0</v>
      </c>
    </row>
    <row r="855" spans="1:36" ht="141.75" x14ac:dyDescent="0.25">
      <c r="A855" s="6">
        <v>852</v>
      </c>
      <c r="B855" s="31">
        <v>135456</v>
      </c>
      <c r="C855" s="31">
        <v>762</v>
      </c>
      <c r="D855" s="177" t="s">
        <v>145</v>
      </c>
      <c r="E855" s="82" t="s">
        <v>1179</v>
      </c>
      <c r="F855" s="31" t="s">
        <v>1604</v>
      </c>
      <c r="G855" s="11" t="s">
        <v>810</v>
      </c>
      <c r="H855" s="11" t="s">
        <v>1963</v>
      </c>
      <c r="I855" s="33" t="s">
        <v>1605</v>
      </c>
      <c r="J855" s="25">
        <v>44047</v>
      </c>
      <c r="K855" s="25">
        <v>45264</v>
      </c>
      <c r="L855" s="26">
        <f t="shared" si="297"/>
        <v>83.98386310454093</v>
      </c>
      <c r="M855" s="11" t="s">
        <v>1343</v>
      </c>
      <c r="N855" s="11" t="s">
        <v>261</v>
      </c>
      <c r="O855" s="11" t="s">
        <v>137</v>
      </c>
      <c r="P855" s="27" t="s">
        <v>138</v>
      </c>
      <c r="Q855" s="11" t="s">
        <v>34</v>
      </c>
      <c r="R855" s="1">
        <f t="shared" si="298"/>
        <v>28829250.479999993</v>
      </c>
      <c r="S855" s="2">
        <v>23248278.729999993</v>
      </c>
      <c r="T855" s="2">
        <v>5580971.7500000009</v>
      </c>
      <c r="U855" s="1">
        <f t="shared" si="299"/>
        <v>0</v>
      </c>
      <c r="V855" s="28">
        <v>0</v>
      </c>
      <c r="W855" s="28">
        <v>0</v>
      </c>
      <c r="X855" s="1">
        <f t="shared" si="300"/>
        <v>5497880.25</v>
      </c>
      <c r="Y855" s="28">
        <v>4102637.37</v>
      </c>
      <c r="Z855" s="28">
        <v>1395242.88</v>
      </c>
      <c r="AA855" s="2">
        <f t="shared" si="301"/>
        <v>0</v>
      </c>
      <c r="AB855" s="2">
        <v>0</v>
      </c>
      <c r="AC855" s="2">
        <v>0</v>
      </c>
      <c r="AD855" s="16">
        <f t="shared" si="296"/>
        <v>34327130.729999989</v>
      </c>
      <c r="AE855" s="2">
        <v>0</v>
      </c>
      <c r="AF855" s="2">
        <f t="shared" si="302"/>
        <v>34327130.729999989</v>
      </c>
      <c r="AG855" s="38" t="s">
        <v>486</v>
      </c>
      <c r="AH855" s="29" t="s">
        <v>3306</v>
      </c>
      <c r="AI855" s="30">
        <f>197490.46+62364.74+154421.59+542411.22+145308.04+492941.44+218133.81+111805.75</f>
        <v>1924877.05</v>
      </c>
      <c r="AJ855" s="30">
        <v>0</v>
      </c>
    </row>
    <row r="856" spans="1:36" ht="141.75" x14ac:dyDescent="0.25">
      <c r="A856" s="6">
        <v>853</v>
      </c>
      <c r="B856" s="31">
        <v>133394</v>
      </c>
      <c r="C856" s="31">
        <v>764</v>
      </c>
      <c r="D856" s="177" t="s">
        <v>145</v>
      </c>
      <c r="E856" s="82" t="s">
        <v>1179</v>
      </c>
      <c r="F856" s="31" t="s">
        <v>1608</v>
      </c>
      <c r="G856" s="11" t="s">
        <v>1584</v>
      </c>
      <c r="H856" s="32" t="s">
        <v>1609</v>
      </c>
      <c r="I856" s="33" t="s">
        <v>3025</v>
      </c>
      <c r="J856" s="25">
        <v>44049</v>
      </c>
      <c r="K856" s="25">
        <v>45144</v>
      </c>
      <c r="L856" s="26">
        <f t="shared" si="297"/>
        <v>83.983862862472989</v>
      </c>
      <c r="M856" s="11" t="s">
        <v>1343</v>
      </c>
      <c r="N856" s="11" t="s">
        <v>261</v>
      </c>
      <c r="O856" s="11" t="s">
        <v>137</v>
      </c>
      <c r="P856" s="27" t="s">
        <v>138</v>
      </c>
      <c r="Q856" s="11" t="s">
        <v>34</v>
      </c>
      <c r="R856" s="1">
        <f t="shared" si="298"/>
        <v>28246326.609999999</v>
      </c>
      <c r="S856" s="2">
        <v>22778201.460000001</v>
      </c>
      <c r="T856" s="2">
        <v>5468125.1499999985</v>
      </c>
      <c r="U856" s="1">
        <f t="shared" si="299"/>
        <v>0</v>
      </c>
      <c r="V856" s="28">
        <v>0</v>
      </c>
      <c r="W856" s="28">
        <v>0</v>
      </c>
      <c r="X856" s="1">
        <f t="shared" si="300"/>
        <v>5386713.8899999997</v>
      </c>
      <c r="Y856" s="28">
        <v>4019682.59</v>
      </c>
      <c r="Z856" s="28">
        <v>1367031.3</v>
      </c>
      <c r="AA856" s="2">
        <f t="shared" si="301"/>
        <v>0</v>
      </c>
      <c r="AB856" s="2">
        <v>0</v>
      </c>
      <c r="AC856" s="2">
        <v>0</v>
      </c>
      <c r="AD856" s="16">
        <f t="shared" si="296"/>
        <v>33633040.5</v>
      </c>
      <c r="AE856" s="2">
        <v>0</v>
      </c>
      <c r="AF856" s="2">
        <f t="shared" si="302"/>
        <v>33633040.5</v>
      </c>
      <c r="AG856" s="38" t="s">
        <v>486</v>
      </c>
      <c r="AH856" s="29"/>
      <c r="AI856" s="30">
        <f>60051.25+102684.04+97708.07+86180.77+76336.79+74921.42+341985.06</f>
        <v>839867.39999999991</v>
      </c>
      <c r="AJ856" s="30">
        <v>0</v>
      </c>
    </row>
    <row r="857" spans="1:36" ht="141.75" x14ac:dyDescent="0.25">
      <c r="A857" s="6">
        <v>854</v>
      </c>
      <c r="B857" s="31">
        <v>129604</v>
      </c>
      <c r="C857" s="31">
        <v>706</v>
      </c>
      <c r="D857" s="177" t="s">
        <v>143</v>
      </c>
      <c r="E857" s="82" t="s">
        <v>1056</v>
      </c>
      <c r="F857" s="31" t="s">
        <v>1615</v>
      </c>
      <c r="G857" s="11" t="s">
        <v>1928</v>
      </c>
      <c r="H857" s="11" t="s">
        <v>1616</v>
      </c>
      <c r="I857" s="33" t="s">
        <v>3026</v>
      </c>
      <c r="J857" s="25">
        <v>44053</v>
      </c>
      <c r="K857" s="25">
        <v>44905</v>
      </c>
      <c r="L857" s="26">
        <f t="shared" si="297"/>
        <v>83.983862832931337</v>
      </c>
      <c r="M857" s="11" t="s">
        <v>1343</v>
      </c>
      <c r="N857" s="11" t="s">
        <v>261</v>
      </c>
      <c r="O857" s="11" t="s">
        <v>137</v>
      </c>
      <c r="P857" s="27" t="s">
        <v>138</v>
      </c>
      <c r="Q857" s="11" t="s">
        <v>34</v>
      </c>
      <c r="R857" s="1">
        <f t="shared" si="298"/>
        <v>19376667.390000001</v>
      </c>
      <c r="S857" s="2">
        <v>15625594.039999999</v>
      </c>
      <c r="T857" s="2">
        <v>3751073.3500000006</v>
      </c>
      <c r="U857" s="1">
        <f t="shared" si="299"/>
        <v>0</v>
      </c>
      <c r="V857" s="28">
        <v>0</v>
      </c>
      <c r="W857" s="28">
        <v>0</v>
      </c>
      <c r="X857" s="1">
        <f t="shared" si="300"/>
        <v>3695226.11</v>
      </c>
      <c r="Y857" s="28">
        <v>2757457.79</v>
      </c>
      <c r="Z857" s="28">
        <v>937768.32</v>
      </c>
      <c r="AA857" s="2">
        <f t="shared" si="301"/>
        <v>0</v>
      </c>
      <c r="AB857" s="2">
        <v>0</v>
      </c>
      <c r="AC857" s="2">
        <v>0</v>
      </c>
      <c r="AD857" s="16">
        <f t="shared" si="296"/>
        <v>23071893.5</v>
      </c>
      <c r="AE857" s="2">
        <v>0</v>
      </c>
      <c r="AF857" s="2">
        <f t="shared" si="302"/>
        <v>23071893.5</v>
      </c>
      <c r="AG857" s="38" t="s">
        <v>486</v>
      </c>
      <c r="AH857" s="29"/>
      <c r="AI857" s="30">
        <f>122000.84+335475.68+254362.86+290005.39+109608.47+534236.8+142996.72</f>
        <v>1788686.76</v>
      </c>
      <c r="AJ857" s="30">
        <v>0</v>
      </c>
    </row>
    <row r="858" spans="1:36" ht="173.25" x14ac:dyDescent="0.25">
      <c r="A858" s="6">
        <v>855</v>
      </c>
      <c r="B858" s="31">
        <v>130047</v>
      </c>
      <c r="C858" s="31">
        <v>721</v>
      </c>
      <c r="D858" s="177" t="s">
        <v>143</v>
      </c>
      <c r="E858" s="82" t="s">
        <v>1056</v>
      </c>
      <c r="F858" s="31" t="s">
        <v>1618</v>
      </c>
      <c r="G858" s="11" t="s">
        <v>1617</v>
      </c>
      <c r="H858" s="8" t="s">
        <v>151</v>
      </c>
      <c r="I858" s="33" t="s">
        <v>3027</v>
      </c>
      <c r="J858" s="25">
        <v>44055</v>
      </c>
      <c r="K858" s="25">
        <v>45272</v>
      </c>
      <c r="L858" s="26">
        <f t="shared" si="297"/>
        <v>83.98386283554224</v>
      </c>
      <c r="M858" s="11" t="s">
        <v>1343</v>
      </c>
      <c r="N858" s="11" t="s">
        <v>261</v>
      </c>
      <c r="O858" s="11" t="s">
        <v>137</v>
      </c>
      <c r="P858" s="27" t="s">
        <v>138</v>
      </c>
      <c r="Q858" s="11" t="s">
        <v>34</v>
      </c>
      <c r="R858" s="1">
        <f t="shared" si="298"/>
        <v>13238013.899999999</v>
      </c>
      <c r="S858" s="2">
        <v>10675304.85</v>
      </c>
      <c r="T858" s="2">
        <v>2562709.0499999998</v>
      </c>
      <c r="U858" s="1">
        <f t="shared" si="299"/>
        <v>0</v>
      </c>
      <c r="V858" s="28">
        <v>0</v>
      </c>
      <c r="W858" s="28">
        <v>0</v>
      </c>
      <c r="X858" s="1">
        <f t="shared" si="300"/>
        <v>2524554.59</v>
      </c>
      <c r="Y858" s="28">
        <v>1883877.32</v>
      </c>
      <c r="Z858" s="28">
        <v>640677.27</v>
      </c>
      <c r="AA858" s="2">
        <f t="shared" si="301"/>
        <v>0</v>
      </c>
      <c r="AB858" s="2">
        <v>0</v>
      </c>
      <c r="AC858" s="2">
        <v>0</v>
      </c>
      <c r="AD858" s="16">
        <f t="shared" si="296"/>
        <v>15762568.489999998</v>
      </c>
      <c r="AE858" s="2">
        <v>0</v>
      </c>
      <c r="AF858" s="2">
        <f t="shared" si="302"/>
        <v>15762568.489999998</v>
      </c>
      <c r="AG858" s="38" t="s">
        <v>486</v>
      </c>
      <c r="AH858" s="29" t="s">
        <v>2484</v>
      </c>
      <c r="AI858" s="30">
        <f>67715.09+302637.53</f>
        <v>370352.62</v>
      </c>
      <c r="AJ858" s="30">
        <v>0</v>
      </c>
    </row>
    <row r="859" spans="1:36" ht="409.5" x14ac:dyDescent="0.25">
      <c r="A859" s="6">
        <v>856</v>
      </c>
      <c r="B859" s="31">
        <v>134289</v>
      </c>
      <c r="C859" s="31">
        <v>859</v>
      </c>
      <c r="D859" s="177" t="s">
        <v>143</v>
      </c>
      <c r="E859" s="82" t="s">
        <v>1622</v>
      </c>
      <c r="F859" s="31" t="s">
        <v>1619</v>
      </c>
      <c r="G859" s="11" t="s">
        <v>1397</v>
      </c>
      <c r="H859" s="8" t="s">
        <v>151</v>
      </c>
      <c r="I859" s="33" t="s">
        <v>3028</v>
      </c>
      <c r="J859" s="25">
        <v>44055</v>
      </c>
      <c r="K859" s="25">
        <v>45242</v>
      </c>
      <c r="L859" s="26">
        <f t="shared" si="297"/>
        <v>83.98386278818181</v>
      </c>
      <c r="M859" s="11" t="s">
        <v>1343</v>
      </c>
      <c r="N859" s="11" t="s">
        <v>261</v>
      </c>
      <c r="O859" s="11" t="s">
        <v>137</v>
      </c>
      <c r="P859" s="27" t="s">
        <v>138</v>
      </c>
      <c r="Q859" s="11" t="s">
        <v>34</v>
      </c>
      <c r="R859" s="1">
        <f t="shared" si="298"/>
        <v>5544465.129999999</v>
      </c>
      <c r="S859" s="2">
        <v>4471128.0599999996</v>
      </c>
      <c r="T859" s="2">
        <v>1073337.0699999996</v>
      </c>
      <c r="U859" s="1">
        <f t="shared" si="299"/>
        <v>0</v>
      </c>
      <c r="V859" s="28">
        <v>0</v>
      </c>
      <c r="W859" s="28">
        <v>0</v>
      </c>
      <c r="X859" s="1">
        <f t="shared" si="300"/>
        <v>1057356.8700000001</v>
      </c>
      <c r="Y859" s="28">
        <v>789022.61</v>
      </c>
      <c r="Z859" s="28">
        <v>268334.26</v>
      </c>
      <c r="AA859" s="2">
        <f t="shared" si="301"/>
        <v>0</v>
      </c>
      <c r="AB859" s="2">
        <v>0</v>
      </c>
      <c r="AC859" s="2">
        <v>0</v>
      </c>
      <c r="AD859" s="16">
        <f t="shared" si="296"/>
        <v>6601821.9999999991</v>
      </c>
      <c r="AE859" s="2">
        <v>0</v>
      </c>
      <c r="AF859" s="2">
        <f t="shared" si="302"/>
        <v>6601821.9999999991</v>
      </c>
      <c r="AG859" s="38" t="s">
        <v>486</v>
      </c>
      <c r="AH859" s="29" t="s">
        <v>2303</v>
      </c>
      <c r="AI859" s="30">
        <f>70951.01+138909.3+67691.66+61427.84+51510.66+163435.11+53232.33</f>
        <v>607157.90999999992</v>
      </c>
      <c r="AJ859" s="30">
        <v>0</v>
      </c>
    </row>
    <row r="860" spans="1:36" ht="141.75" x14ac:dyDescent="0.25">
      <c r="A860" s="6">
        <v>857</v>
      </c>
      <c r="B860" s="31">
        <v>129714</v>
      </c>
      <c r="C860" s="31">
        <v>726</v>
      </c>
      <c r="D860" s="177" t="s">
        <v>143</v>
      </c>
      <c r="E860" s="82" t="s">
        <v>1056</v>
      </c>
      <c r="F860" s="31" t="s">
        <v>1623</v>
      </c>
      <c r="G860" s="11" t="s">
        <v>55</v>
      </c>
      <c r="H860" s="8" t="s">
        <v>151</v>
      </c>
      <c r="I860" s="33" t="s">
        <v>1624</v>
      </c>
      <c r="J860" s="25">
        <v>44061</v>
      </c>
      <c r="K860" s="25">
        <v>44791</v>
      </c>
      <c r="L860" s="26">
        <f t="shared" si="297"/>
        <v>83.983862951227977</v>
      </c>
      <c r="M860" s="11" t="s">
        <v>1343</v>
      </c>
      <c r="N860" s="11" t="s">
        <v>261</v>
      </c>
      <c r="O860" s="11" t="s">
        <v>137</v>
      </c>
      <c r="P860" s="27" t="s">
        <v>138</v>
      </c>
      <c r="Q860" s="11" t="s">
        <v>34</v>
      </c>
      <c r="R860" s="1">
        <f t="shared" si="298"/>
        <v>1775235.61</v>
      </c>
      <c r="S860" s="2">
        <v>1431572.85</v>
      </c>
      <c r="T860" s="2">
        <v>343662.76</v>
      </c>
      <c r="U860" s="1">
        <f t="shared" si="299"/>
        <v>0</v>
      </c>
      <c r="V860" s="28">
        <v>0</v>
      </c>
      <c r="W860" s="28">
        <v>0</v>
      </c>
      <c r="X860" s="1">
        <f t="shared" si="300"/>
        <v>338546.19</v>
      </c>
      <c r="Y860" s="2">
        <v>252630.5</v>
      </c>
      <c r="Z860" s="2">
        <v>85915.69</v>
      </c>
      <c r="AA860" s="2">
        <f t="shared" si="301"/>
        <v>0</v>
      </c>
      <c r="AB860" s="2">
        <v>0</v>
      </c>
      <c r="AC860" s="2">
        <v>0</v>
      </c>
      <c r="AD860" s="16">
        <f t="shared" si="296"/>
        <v>2113781.8000000003</v>
      </c>
      <c r="AE860" s="2">
        <v>0</v>
      </c>
      <c r="AF860" s="2">
        <f t="shared" si="302"/>
        <v>2113781.8000000003</v>
      </c>
      <c r="AG860" s="38" t="s">
        <v>857</v>
      </c>
      <c r="AH860" s="29"/>
      <c r="AI860" s="30">
        <v>0</v>
      </c>
      <c r="AJ860" s="30">
        <v>0</v>
      </c>
    </row>
    <row r="861" spans="1:36" ht="204.75" x14ac:dyDescent="0.25">
      <c r="A861" s="6">
        <v>858</v>
      </c>
      <c r="B861" s="31">
        <v>134962</v>
      </c>
      <c r="C861" s="31">
        <v>858</v>
      </c>
      <c r="D861" s="177" t="s">
        <v>143</v>
      </c>
      <c r="E861" s="82" t="s">
        <v>1622</v>
      </c>
      <c r="F861" s="31" t="s">
        <v>1626</v>
      </c>
      <c r="G861" s="11" t="s">
        <v>1625</v>
      </c>
      <c r="H861" s="8" t="s">
        <v>151</v>
      </c>
      <c r="I861" s="33" t="s">
        <v>3029</v>
      </c>
      <c r="J861" s="25">
        <v>44062</v>
      </c>
      <c r="K861" s="25">
        <v>45157</v>
      </c>
      <c r="L861" s="26">
        <f t="shared" si="297"/>
        <v>83.983862883576052</v>
      </c>
      <c r="M861" s="11" t="s">
        <v>1343</v>
      </c>
      <c r="N861" s="11" t="s">
        <v>261</v>
      </c>
      <c r="O861" s="11" t="s">
        <v>137</v>
      </c>
      <c r="P861" s="27" t="s">
        <v>138</v>
      </c>
      <c r="Q861" s="11" t="s">
        <v>34</v>
      </c>
      <c r="R861" s="1">
        <f t="shared" si="298"/>
        <v>25127215.920000002</v>
      </c>
      <c r="S861" s="2">
        <v>20262910.43</v>
      </c>
      <c r="T861" s="2">
        <v>4864305.4900000012</v>
      </c>
      <c r="U861" s="1">
        <f t="shared" si="299"/>
        <v>0</v>
      </c>
      <c r="V861" s="28">
        <v>0</v>
      </c>
      <c r="W861" s="28">
        <v>0</v>
      </c>
      <c r="X861" s="1">
        <f t="shared" si="300"/>
        <v>4791884.08</v>
      </c>
      <c r="Y861" s="2">
        <v>3575807.71</v>
      </c>
      <c r="Z861" s="2">
        <v>1216076.3700000001</v>
      </c>
      <c r="AA861" s="2">
        <f t="shared" si="301"/>
        <v>0</v>
      </c>
      <c r="AB861" s="2">
        <v>0</v>
      </c>
      <c r="AC861" s="2">
        <v>0</v>
      </c>
      <c r="AD861" s="16">
        <f t="shared" si="296"/>
        <v>29919100</v>
      </c>
      <c r="AE861" s="2">
        <v>0</v>
      </c>
      <c r="AF861" s="2">
        <f t="shared" si="302"/>
        <v>29919100</v>
      </c>
      <c r="AG861" s="38" t="s">
        <v>486</v>
      </c>
      <c r="AH861" s="29"/>
      <c r="AI861" s="30">
        <f>67453.27+112356.03+125753.6+402241.99+268534.8+49812.51+105461.75</f>
        <v>1131613.95</v>
      </c>
      <c r="AJ861" s="30">
        <v>0</v>
      </c>
    </row>
    <row r="862" spans="1:36" ht="315" x14ac:dyDescent="0.25">
      <c r="A862" s="6">
        <v>859</v>
      </c>
      <c r="B862" s="31">
        <v>134464</v>
      </c>
      <c r="C862" s="31">
        <v>866</v>
      </c>
      <c r="D862" s="177" t="s">
        <v>143</v>
      </c>
      <c r="E862" s="82" t="s">
        <v>1622</v>
      </c>
      <c r="F862" s="31" t="s">
        <v>1628</v>
      </c>
      <c r="G862" s="11" t="s">
        <v>1627</v>
      </c>
      <c r="H862" s="8" t="s">
        <v>151</v>
      </c>
      <c r="I862" s="33" t="s">
        <v>3030</v>
      </c>
      <c r="J862" s="25">
        <v>44061</v>
      </c>
      <c r="K862" s="25">
        <v>45248</v>
      </c>
      <c r="L862" s="26">
        <f t="shared" si="297"/>
        <v>83.9838633921499</v>
      </c>
      <c r="M862" s="11" t="s">
        <v>1343</v>
      </c>
      <c r="N862" s="11" t="s">
        <v>261</v>
      </c>
      <c r="O862" s="11" t="s">
        <v>137</v>
      </c>
      <c r="P862" s="27" t="s">
        <v>138</v>
      </c>
      <c r="Q862" s="11" t="s">
        <v>34</v>
      </c>
      <c r="R862" s="1">
        <f t="shared" si="298"/>
        <v>6673124.3100000005</v>
      </c>
      <c r="S862" s="2">
        <v>5381293.3700000001</v>
      </c>
      <c r="T862" s="2">
        <v>1291830.9400000002</v>
      </c>
      <c r="U862" s="1">
        <f t="shared" si="299"/>
        <v>0</v>
      </c>
      <c r="V862" s="28">
        <v>0</v>
      </c>
      <c r="W862" s="28">
        <v>0</v>
      </c>
      <c r="X862" s="1">
        <f t="shared" si="300"/>
        <v>1272597.69</v>
      </c>
      <c r="Y862" s="2">
        <v>949639.95</v>
      </c>
      <c r="Z862" s="2">
        <v>322957.74</v>
      </c>
      <c r="AA862" s="2">
        <f t="shared" si="301"/>
        <v>0</v>
      </c>
      <c r="AB862" s="2">
        <v>0</v>
      </c>
      <c r="AC862" s="2">
        <v>0</v>
      </c>
      <c r="AD862" s="16">
        <f t="shared" si="296"/>
        <v>7945722</v>
      </c>
      <c r="AE862" s="2">
        <v>0</v>
      </c>
      <c r="AF862" s="2">
        <f t="shared" si="302"/>
        <v>7945722</v>
      </c>
      <c r="AG862" s="38" t="s">
        <v>486</v>
      </c>
      <c r="AH862" s="29" t="s">
        <v>2181</v>
      </c>
      <c r="AI862" s="30">
        <f>21724.86+44015.51+21840.51+937415.29+216658.25+5731.9+170554.43</f>
        <v>1417940.7499999998</v>
      </c>
      <c r="AJ862" s="30">
        <v>0</v>
      </c>
    </row>
    <row r="863" spans="1:36" ht="173.25" x14ac:dyDescent="0.25">
      <c r="A863" s="6">
        <v>860</v>
      </c>
      <c r="B863" s="31">
        <v>136528</v>
      </c>
      <c r="C863" s="31">
        <v>863</v>
      </c>
      <c r="D863" s="177" t="s">
        <v>143</v>
      </c>
      <c r="E863" s="82" t="s">
        <v>1622</v>
      </c>
      <c r="F863" s="31" t="s">
        <v>1634</v>
      </c>
      <c r="G863" s="11" t="s">
        <v>1928</v>
      </c>
      <c r="H863" s="11" t="s">
        <v>1635</v>
      </c>
      <c r="I863" s="33" t="s">
        <v>3031</v>
      </c>
      <c r="J863" s="25">
        <v>44078</v>
      </c>
      <c r="K863" s="25">
        <v>44989</v>
      </c>
      <c r="L863" s="26">
        <f t="shared" si="297"/>
        <v>83.983863209118383</v>
      </c>
      <c r="M863" s="11" t="s">
        <v>1343</v>
      </c>
      <c r="N863" s="11" t="s">
        <v>261</v>
      </c>
      <c r="O863" s="11" t="s">
        <v>137</v>
      </c>
      <c r="P863" s="27" t="s">
        <v>138</v>
      </c>
      <c r="Q863" s="11" t="s">
        <v>34</v>
      </c>
      <c r="R863" s="1">
        <f t="shared" si="298"/>
        <v>3760337.86</v>
      </c>
      <c r="S863" s="2">
        <v>3032384.87</v>
      </c>
      <c r="T863" s="2">
        <v>727952.98999999987</v>
      </c>
      <c r="U863" s="1">
        <f t="shared" si="299"/>
        <v>0</v>
      </c>
      <c r="V863" s="28">
        <v>0</v>
      </c>
      <c r="W863" s="28">
        <v>0</v>
      </c>
      <c r="X863" s="1">
        <f t="shared" si="300"/>
        <v>717114.97</v>
      </c>
      <c r="Y863" s="2">
        <v>535126.72</v>
      </c>
      <c r="Z863" s="2">
        <v>181988.25</v>
      </c>
      <c r="AA863" s="2">
        <f t="shared" si="301"/>
        <v>0</v>
      </c>
      <c r="AB863" s="2">
        <v>0</v>
      </c>
      <c r="AC863" s="2">
        <v>0</v>
      </c>
      <c r="AD863" s="16">
        <f t="shared" si="296"/>
        <v>4477452.83</v>
      </c>
      <c r="AE863" s="2">
        <v>0</v>
      </c>
      <c r="AF863" s="2">
        <f t="shared" si="302"/>
        <v>4477452.83</v>
      </c>
      <c r="AG863" s="38" t="s">
        <v>486</v>
      </c>
      <c r="AH863" s="29" t="s">
        <v>3255</v>
      </c>
      <c r="AI863" s="30">
        <f>404831.05+187670.34+310479.1+186077.16+229514.47+213048.58+162891.74+195301.1</f>
        <v>1889813.54</v>
      </c>
      <c r="AJ863" s="30">
        <v>0</v>
      </c>
    </row>
    <row r="864" spans="1:36" ht="157.5" x14ac:dyDescent="0.25">
      <c r="A864" s="6">
        <v>861</v>
      </c>
      <c r="B864" s="31">
        <v>130103</v>
      </c>
      <c r="C864" s="31">
        <v>737</v>
      </c>
      <c r="D864" s="177" t="s">
        <v>143</v>
      </c>
      <c r="E864" s="82" t="s">
        <v>1056</v>
      </c>
      <c r="F864" s="31" t="s">
        <v>1636</v>
      </c>
      <c r="G864" s="11" t="s">
        <v>1716</v>
      </c>
      <c r="H864" s="8" t="s">
        <v>151</v>
      </c>
      <c r="I864" s="33" t="s">
        <v>3032</v>
      </c>
      <c r="J864" s="25">
        <v>44083</v>
      </c>
      <c r="K864" s="25">
        <v>45290</v>
      </c>
      <c r="L864" s="26">
        <f t="shared" si="297"/>
        <v>83.983862888157404</v>
      </c>
      <c r="M864" s="11" t="s">
        <v>1343</v>
      </c>
      <c r="N864" s="11" t="s">
        <v>261</v>
      </c>
      <c r="O864" s="11" t="s">
        <v>137</v>
      </c>
      <c r="P864" s="27" t="s">
        <v>138</v>
      </c>
      <c r="Q864" s="11" t="s">
        <v>34</v>
      </c>
      <c r="R864" s="1">
        <f t="shared" si="298"/>
        <v>22633067.940000001</v>
      </c>
      <c r="S864" s="2">
        <v>18251597.370000001</v>
      </c>
      <c r="T864" s="2">
        <v>4381470.57</v>
      </c>
      <c r="U864" s="1">
        <f t="shared" si="299"/>
        <v>0</v>
      </c>
      <c r="V864" s="28">
        <v>0</v>
      </c>
      <c r="W864" s="28">
        <v>0</v>
      </c>
      <c r="X864" s="1">
        <f t="shared" si="300"/>
        <v>4316237.75</v>
      </c>
      <c r="Y864" s="2">
        <v>3220870.13</v>
      </c>
      <c r="Z864" s="2">
        <v>1095367.6200000001</v>
      </c>
      <c r="AA864" s="2">
        <f t="shared" si="301"/>
        <v>0</v>
      </c>
      <c r="AB864" s="2">
        <v>0</v>
      </c>
      <c r="AC864" s="2">
        <v>0</v>
      </c>
      <c r="AD864" s="16">
        <f t="shared" si="296"/>
        <v>26949305.690000001</v>
      </c>
      <c r="AE864" s="2">
        <v>1651441.54</v>
      </c>
      <c r="AF864" s="2">
        <f t="shared" si="302"/>
        <v>28600747.23</v>
      </c>
      <c r="AG864" s="38" t="s">
        <v>486</v>
      </c>
      <c r="AH864" s="29" t="s">
        <v>3304</v>
      </c>
      <c r="AI864" s="30">
        <f>42593.26+71128.38+459089.87</f>
        <v>572811.51</v>
      </c>
      <c r="AJ864" s="30">
        <v>0</v>
      </c>
    </row>
    <row r="865" spans="1:36" ht="157.5" x14ac:dyDescent="0.25">
      <c r="A865" s="6">
        <v>862</v>
      </c>
      <c r="B865" s="31">
        <v>130101</v>
      </c>
      <c r="C865" s="31">
        <v>739</v>
      </c>
      <c r="D865" s="177" t="s">
        <v>143</v>
      </c>
      <c r="E865" s="82" t="s">
        <v>1056</v>
      </c>
      <c r="F865" s="31" t="s">
        <v>1637</v>
      </c>
      <c r="G865" s="11" t="s">
        <v>1716</v>
      </c>
      <c r="H865" s="8" t="s">
        <v>151</v>
      </c>
      <c r="I865" s="33" t="s">
        <v>3033</v>
      </c>
      <c r="J865" s="25">
        <v>44083</v>
      </c>
      <c r="K865" s="25">
        <v>45269</v>
      </c>
      <c r="L865" s="26">
        <f t="shared" si="297"/>
        <v>83.983862863627905</v>
      </c>
      <c r="M865" s="11" t="s">
        <v>1343</v>
      </c>
      <c r="N865" s="11" t="s">
        <v>261</v>
      </c>
      <c r="O865" s="11" t="s">
        <v>137</v>
      </c>
      <c r="P865" s="27" t="s">
        <v>138</v>
      </c>
      <c r="Q865" s="11" t="s">
        <v>34</v>
      </c>
      <c r="R865" s="1">
        <f t="shared" si="298"/>
        <v>20113401.539999999</v>
      </c>
      <c r="S865" s="2">
        <v>16219705.949999999</v>
      </c>
      <c r="T865" s="2">
        <v>3893695.5900000003</v>
      </c>
      <c r="U865" s="1">
        <f t="shared" si="299"/>
        <v>0</v>
      </c>
      <c r="V865" s="28">
        <v>0</v>
      </c>
      <c r="W865" s="28">
        <v>0</v>
      </c>
      <c r="X865" s="1">
        <f t="shared" si="300"/>
        <v>3835724.94</v>
      </c>
      <c r="Y865" s="2">
        <v>2862301.05</v>
      </c>
      <c r="Z865" s="2">
        <v>973423.89</v>
      </c>
      <c r="AA865" s="2">
        <f t="shared" si="301"/>
        <v>0</v>
      </c>
      <c r="AB865" s="2">
        <v>0</v>
      </c>
      <c r="AC865" s="2">
        <v>0</v>
      </c>
      <c r="AD865" s="16">
        <f t="shared" si="296"/>
        <v>23949126.48</v>
      </c>
      <c r="AE865" s="2">
        <v>0</v>
      </c>
      <c r="AF865" s="2">
        <f t="shared" si="302"/>
        <v>23949126.48</v>
      </c>
      <c r="AG865" s="38" t="s">
        <v>486</v>
      </c>
      <c r="AH865" s="29" t="s">
        <v>2196</v>
      </c>
      <c r="AI865" s="30">
        <f>28995.43+52712.91+315911.2</f>
        <v>397619.54000000004</v>
      </c>
      <c r="AJ865" s="30">
        <v>0</v>
      </c>
    </row>
    <row r="866" spans="1:36" ht="141.75" x14ac:dyDescent="0.25">
      <c r="A866" s="6">
        <v>863</v>
      </c>
      <c r="B866" s="31">
        <v>136610</v>
      </c>
      <c r="C866" s="31">
        <v>862</v>
      </c>
      <c r="D866" s="177" t="s">
        <v>143</v>
      </c>
      <c r="E866" s="82" t="s">
        <v>1622</v>
      </c>
      <c r="F866" s="31" t="s">
        <v>1641</v>
      </c>
      <c r="G866" s="11" t="s">
        <v>1350</v>
      </c>
      <c r="H866" s="11" t="s">
        <v>1642</v>
      </c>
      <c r="I866" s="33" t="s">
        <v>3034</v>
      </c>
      <c r="J866" s="25">
        <v>44090</v>
      </c>
      <c r="K866" s="25">
        <v>45001</v>
      </c>
      <c r="L866" s="26">
        <f t="shared" si="297"/>
        <v>83.983863078236666</v>
      </c>
      <c r="M866" s="11" t="s">
        <v>1343</v>
      </c>
      <c r="N866" s="11" t="s">
        <v>261</v>
      </c>
      <c r="O866" s="11" t="s">
        <v>137</v>
      </c>
      <c r="P866" s="27" t="s">
        <v>138</v>
      </c>
      <c r="Q866" s="11" t="s">
        <v>34</v>
      </c>
      <c r="R866" s="1">
        <f t="shared" si="298"/>
        <v>4326664.34</v>
      </c>
      <c r="S866" s="2">
        <v>3489077.81</v>
      </c>
      <c r="T866" s="2">
        <v>837586.5299999998</v>
      </c>
      <c r="U866" s="1">
        <f t="shared" si="299"/>
        <v>346722.08999999997</v>
      </c>
      <c r="V866" s="28">
        <v>256230.53</v>
      </c>
      <c r="W866" s="28">
        <v>90491.56</v>
      </c>
      <c r="X866" s="1">
        <f t="shared" si="300"/>
        <v>478394.14</v>
      </c>
      <c r="Y866" s="2">
        <v>359489.09</v>
      </c>
      <c r="Z866" s="2">
        <v>118905.05</v>
      </c>
      <c r="AA866" s="2">
        <f t="shared" si="301"/>
        <v>0</v>
      </c>
      <c r="AB866" s="2">
        <v>0</v>
      </c>
      <c r="AC866" s="2">
        <v>0</v>
      </c>
      <c r="AD866" s="16">
        <f t="shared" si="296"/>
        <v>5151780.5699999994</v>
      </c>
      <c r="AE866" s="2">
        <v>0</v>
      </c>
      <c r="AF866" s="2">
        <f t="shared" si="302"/>
        <v>5151780.5699999994</v>
      </c>
      <c r="AG866" s="38" t="s">
        <v>486</v>
      </c>
      <c r="AH866" s="29"/>
      <c r="AI866" s="30">
        <f>254057.43+298330.11+256434.88+198041.74+165864.77+214043.07+198564.73+191704.08</f>
        <v>1777040.81</v>
      </c>
      <c r="AJ866" s="30">
        <f>24107.34+30833.68+40118.42+30029.62+23798.84+31143.31+29897.12+28399.92</f>
        <v>238328.25</v>
      </c>
    </row>
    <row r="867" spans="1:36" ht="157.5" x14ac:dyDescent="0.25">
      <c r="A867" s="6">
        <v>864</v>
      </c>
      <c r="B867" s="31">
        <v>129959</v>
      </c>
      <c r="C867" s="31">
        <v>716</v>
      </c>
      <c r="D867" s="177" t="s">
        <v>143</v>
      </c>
      <c r="E867" s="82" t="s">
        <v>1056</v>
      </c>
      <c r="F867" s="11" t="s">
        <v>1662</v>
      </c>
      <c r="G867" s="11" t="s">
        <v>1714</v>
      </c>
      <c r="H867" s="8" t="s">
        <v>151</v>
      </c>
      <c r="I867" s="33" t="s">
        <v>3035</v>
      </c>
      <c r="J867" s="25">
        <v>44109</v>
      </c>
      <c r="K867" s="25">
        <v>45204</v>
      </c>
      <c r="L867" s="26">
        <f t="shared" si="297"/>
        <v>83.983862963761638</v>
      </c>
      <c r="M867" s="11" t="s">
        <v>1343</v>
      </c>
      <c r="N867" s="11" t="s">
        <v>261</v>
      </c>
      <c r="O867" s="11" t="s">
        <v>137</v>
      </c>
      <c r="P867" s="27" t="s">
        <v>138</v>
      </c>
      <c r="Q867" s="11" t="s">
        <v>34</v>
      </c>
      <c r="R867" s="1">
        <f t="shared" si="298"/>
        <v>14005620.699999999</v>
      </c>
      <c r="S867" s="2">
        <v>11294312.83</v>
      </c>
      <c r="T867" s="2">
        <v>2711307.87</v>
      </c>
      <c r="U867" s="1">
        <f t="shared" si="299"/>
        <v>0</v>
      </c>
      <c r="V867" s="28">
        <v>0</v>
      </c>
      <c r="W867" s="28">
        <v>0</v>
      </c>
      <c r="X867" s="1">
        <f t="shared" si="300"/>
        <v>2670940.9700000002</v>
      </c>
      <c r="Y867" s="2">
        <v>1993114.04</v>
      </c>
      <c r="Z867" s="2">
        <v>677826.93</v>
      </c>
      <c r="AA867" s="2">
        <f t="shared" si="301"/>
        <v>0</v>
      </c>
      <c r="AB867" s="2">
        <v>0</v>
      </c>
      <c r="AC867" s="2">
        <v>0</v>
      </c>
      <c r="AD867" s="16">
        <f t="shared" si="296"/>
        <v>16676561.67</v>
      </c>
      <c r="AE867" s="2">
        <v>0</v>
      </c>
      <c r="AF867" s="2">
        <f t="shared" si="302"/>
        <v>16676561.67</v>
      </c>
      <c r="AG867" s="38" t="s">
        <v>486</v>
      </c>
      <c r="AH867" s="29"/>
      <c r="AI867" s="30">
        <f>105759.32+272225.63</f>
        <v>377984.95</v>
      </c>
      <c r="AJ867" s="30">
        <v>0</v>
      </c>
    </row>
    <row r="868" spans="1:36" ht="204.75" x14ac:dyDescent="0.25">
      <c r="A868" s="6">
        <v>865</v>
      </c>
      <c r="B868" s="31">
        <v>129982</v>
      </c>
      <c r="C868" s="31">
        <v>720</v>
      </c>
      <c r="D868" s="177" t="s">
        <v>143</v>
      </c>
      <c r="E868" s="82" t="s">
        <v>1056</v>
      </c>
      <c r="F868" s="31" t="s">
        <v>1666</v>
      </c>
      <c r="G868" s="11" t="s">
        <v>1713</v>
      </c>
      <c r="H868" s="11" t="s">
        <v>1667</v>
      </c>
      <c r="I868" s="33" t="s">
        <v>3036</v>
      </c>
      <c r="J868" s="25">
        <v>44118</v>
      </c>
      <c r="K868" s="25">
        <v>45274</v>
      </c>
      <c r="L868" s="26">
        <f t="shared" si="297"/>
        <v>83.983862641097033</v>
      </c>
      <c r="M868" s="11" t="s">
        <v>1343</v>
      </c>
      <c r="N868" s="11" t="s">
        <v>261</v>
      </c>
      <c r="O868" s="11" t="s">
        <v>137</v>
      </c>
      <c r="P868" s="27" t="s">
        <v>138</v>
      </c>
      <c r="Q868" s="11" t="s">
        <v>34</v>
      </c>
      <c r="R868" s="1">
        <f t="shared" si="298"/>
        <v>7678495.0699999984</v>
      </c>
      <c r="S868" s="2">
        <v>6192037.2799999984</v>
      </c>
      <c r="T868" s="2">
        <v>1486457.7900000003</v>
      </c>
      <c r="U868" s="1">
        <f t="shared" si="299"/>
        <v>0</v>
      </c>
      <c r="V868" s="28">
        <v>0</v>
      </c>
      <c r="W868" s="28">
        <v>0</v>
      </c>
      <c r="X868" s="1">
        <f t="shared" si="300"/>
        <v>1464326.93</v>
      </c>
      <c r="Y868" s="2">
        <v>1092712.48</v>
      </c>
      <c r="Z868" s="2">
        <v>371614.45</v>
      </c>
      <c r="AA868" s="2">
        <f t="shared" si="301"/>
        <v>0</v>
      </c>
      <c r="AB868" s="2">
        <v>0</v>
      </c>
      <c r="AC868" s="2">
        <v>0</v>
      </c>
      <c r="AD868" s="16">
        <f t="shared" si="296"/>
        <v>9142821.9999999981</v>
      </c>
      <c r="AE868" s="2">
        <v>0</v>
      </c>
      <c r="AF868" s="2">
        <f t="shared" si="302"/>
        <v>9142821.9999999981</v>
      </c>
      <c r="AG868" s="38" t="s">
        <v>486</v>
      </c>
      <c r="AH868" s="29" t="s">
        <v>3291</v>
      </c>
      <c r="AI868" s="30">
        <v>299246.92</v>
      </c>
      <c r="AJ868" s="30">
        <v>0</v>
      </c>
    </row>
    <row r="869" spans="1:36" ht="141.75" x14ac:dyDescent="0.25">
      <c r="A869" s="6">
        <v>866</v>
      </c>
      <c r="B869" s="31">
        <v>130587</v>
      </c>
      <c r="C869" s="31">
        <v>750</v>
      </c>
      <c r="D869" s="177" t="s">
        <v>143</v>
      </c>
      <c r="E869" s="82" t="s">
        <v>1674</v>
      </c>
      <c r="F869" s="31" t="s">
        <v>1675</v>
      </c>
      <c r="G869" s="27" t="s">
        <v>1717</v>
      </c>
      <c r="H869" s="32" t="s">
        <v>1676</v>
      </c>
      <c r="I869" s="33" t="s">
        <v>3037</v>
      </c>
      <c r="J869" s="25">
        <v>44162</v>
      </c>
      <c r="K869" s="25">
        <v>45257</v>
      </c>
      <c r="L869" s="26">
        <f t="shared" si="297"/>
        <v>82.822280549048671</v>
      </c>
      <c r="M869" s="11" t="s">
        <v>1343</v>
      </c>
      <c r="N869" s="11" t="s">
        <v>261</v>
      </c>
      <c r="O869" s="11" t="s">
        <v>137</v>
      </c>
      <c r="P869" s="27" t="s">
        <v>138</v>
      </c>
      <c r="Q869" s="11" t="s">
        <v>34</v>
      </c>
      <c r="R869" s="1">
        <f t="shared" si="298"/>
        <v>17080376.949999999</v>
      </c>
      <c r="S869" s="2">
        <v>13773835.85</v>
      </c>
      <c r="T869" s="2">
        <v>3306541.0999999996</v>
      </c>
      <c r="U869" s="1">
        <f t="shared" si="299"/>
        <v>2238506.0100000002</v>
      </c>
      <c r="V869" s="28">
        <v>1670421.7100000004</v>
      </c>
      <c r="W869" s="28">
        <v>568084.29999999981</v>
      </c>
      <c r="X869" s="1">
        <f t="shared" si="300"/>
        <v>1304042.22</v>
      </c>
      <c r="Y869" s="2">
        <v>987523.49</v>
      </c>
      <c r="Z869" s="2">
        <v>316518.73</v>
      </c>
      <c r="AA869" s="2">
        <f t="shared" si="301"/>
        <v>0</v>
      </c>
      <c r="AB869" s="2">
        <v>0</v>
      </c>
      <c r="AC869" s="2">
        <v>0</v>
      </c>
      <c r="AD869" s="16">
        <f t="shared" si="296"/>
        <v>20622925.18</v>
      </c>
      <c r="AE869" s="2">
        <v>19040</v>
      </c>
      <c r="AF869" s="2">
        <f t="shared" si="302"/>
        <v>20641965.18</v>
      </c>
      <c r="AG869" s="38" t="s">
        <v>486</v>
      </c>
      <c r="AH869" s="29"/>
      <c r="AI869" s="30">
        <f>1407602.94-83676.6+598428.39+1322256.95+21721.63+963448.32</f>
        <v>4229781.63</v>
      </c>
      <c r="AJ869" s="30">
        <f>96500.94+61354.02+186804.59+202660.51</f>
        <v>547320.06000000006</v>
      </c>
    </row>
    <row r="870" spans="1:36" ht="141.75" x14ac:dyDescent="0.25">
      <c r="A870" s="6">
        <v>867</v>
      </c>
      <c r="B870" s="31">
        <v>129878</v>
      </c>
      <c r="C870" s="31">
        <v>704</v>
      </c>
      <c r="D870" s="177" t="s">
        <v>143</v>
      </c>
      <c r="E870" s="82" t="s">
        <v>1056</v>
      </c>
      <c r="F870" s="31" t="s">
        <v>1679</v>
      </c>
      <c r="G870" s="11" t="s">
        <v>1678</v>
      </c>
      <c r="H870" s="32" t="s">
        <v>1680</v>
      </c>
      <c r="I870" s="33" t="s">
        <v>1681</v>
      </c>
      <c r="J870" s="25">
        <v>44168</v>
      </c>
      <c r="K870" s="25">
        <v>45263</v>
      </c>
      <c r="L870" s="26">
        <f t="shared" si="297"/>
        <v>83.983863170721136</v>
      </c>
      <c r="M870" s="11" t="s">
        <v>1343</v>
      </c>
      <c r="N870" s="11" t="s">
        <v>261</v>
      </c>
      <c r="O870" s="11" t="s">
        <v>137</v>
      </c>
      <c r="P870" s="27" t="s">
        <v>138</v>
      </c>
      <c r="Q870" s="11" t="s">
        <v>34</v>
      </c>
      <c r="R870" s="1">
        <f t="shared" si="298"/>
        <v>13658794.540000003</v>
      </c>
      <c r="S870" s="2">
        <v>11014627.770000001</v>
      </c>
      <c r="T870" s="2">
        <v>2644166.7700000009</v>
      </c>
      <c r="U870" s="1">
        <f t="shared" si="299"/>
        <v>2279527.6000000006</v>
      </c>
      <c r="V870" s="28">
        <v>1684590.0500000003</v>
      </c>
      <c r="W870" s="28">
        <v>594937.55000000016</v>
      </c>
      <c r="X870" s="1">
        <f t="shared" si="300"/>
        <v>325271.87</v>
      </c>
      <c r="Y870" s="2">
        <v>259167.74</v>
      </c>
      <c r="Z870" s="2">
        <v>66104.13</v>
      </c>
      <c r="AA870" s="2">
        <f t="shared" si="301"/>
        <v>0</v>
      </c>
      <c r="AB870" s="2">
        <v>0</v>
      </c>
      <c r="AC870" s="2">
        <v>0</v>
      </c>
      <c r="AD870" s="16">
        <f t="shared" si="296"/>
        <v>16263594.010000004</v>
      </c>
      <c r="AE870" s="2">
        <v>0</v>
      </c>
      <c r="AF870" s="2">
        <f t="shared" si="302"/>
        <v>16263594.010000004</v>
      </c>
      <c r="AG870" s="38" t="s">
        <v>486</v>
      </c>
      <c r="AH870" s="29" t="s">
        <v>1998</v>
      </c>
      <c r="AI870" s="30">
        <f>80297.81+845318.83+955358.43+1023235.03+1157821.99+1063429.71+941993.25</f>
        <v>6067455.0499999998</v>
      </c>
      <c r="AJ870" s="30">
        <f>13400.97+141075.96+159440.57+170768.55+193229.87+177476.67+157210.03</f>
        <v>1012602.62</v>
      </c>
    </row>
    <row r="871" spans="1:36" ht="299.25" x14ac:dyDescent="0.25">
      <c r="A871" s="6">
        <v>868</v>
      </c>
      <c r="B871" s="31">
        <v>134950</v>
      </c>
      <c r="C871" s="31">
        <v>869</v>
      </c>
      <c r="D871" s="177" t="s">
        <v>143</v>
      </c>
      <c r="E871" s="82" t="s">
        <v>1622</v>
      </c>
      <c r="F871" s="31" t="s">
        <v>1682</v>
      </c>
      <c r="G871" s="11" t="s">
        <v>1397</v>
      </c>
      <c r="H871" s="32" t="s">
        <v>1683</v>
      </c>
      <c r="I871" s="33" t="s">
        <v>3038</v>
      </c>
      <c r="J871" s="25">
        <v>44173</v>
      </c>
      <c r="K871" s="25">
        <v>45024</v>
      </c>
      <c r="L871" s="26">
        <f t="shared" si="297"/>
        <v>83.983862791468823</v>
      </c>
      <c r="M871" s="11" t="s">
        <v>1343</v>
      </c>
      <c r="N871" s="11" t="s">
        <v>261</v>
      </c>
      <c r="O871" s="11" t="s">
        <v>137</v>
      </c>
      <c r="P871" s="27" t="s">
        <v>138</v>
      </c>
      <c r="Q871" s="11" t="s">
        <v>34</v>
      </c>
      <c r="R871" s="1">
        <f t="shared" si="298"/>
        <v>3740241.2000000007</v>
      </c>
      <c r="S871" s="2">
        <v>3016178.6400000006</v>
      </c>
      <c r="T871" s="2">
        <v>724062.55999999994</v>
      </c>
      <c r="U871" s="1">
        <f t="shared" si="299"/>
        <v>0</v>
      </c>
      <c r="V871" s="28">
        <v>0</v>
      </c>
      <c r="W871" s="28">
        <v>0</v>
      </c>
      <c r="X871" s="1">
        <f t="shared" si="300"/>
        <v>713282.46</v>
      </c>
      <c r="Y871" s="2">
        <v>532266.84</v>
      </c>
      <c r="Z871" s="2">
        <v>181015.62</v>
      </c>
      <c r="AA871" s="2">
        <f t="shared" si="301"/>
        <v>0</v>
      </c>
      <c r="AB871" s="2">
        <v>0</v>
      </c>
      <c r="AC871" s="2">
        <v>0</v>
      </c>
      <c r="AD871" s="16">
        <f t="shared" si="296"/>
        <v>4453523.66</v>
      </c>
      <c r="AE871" s="2">
        <v>0</v>
      </c>
      <c r="AF871" s="2">
        <f t="shared" si="302"/>
        <v>4453523.66</v>
      </c>
      <c r="AG871" s="38" t="s">
        <v>486</v>
      </c>
      <c r="AH871" s="29" t="s">
        <v>2148</v>
      </c>
      <c r="AI871" s="30">
        <f>77354.96+78742.24+53823.73+81477.99+43197.14</f>
        <v>334596.06000000006</v>
      </c>
      <c r="AJ871" s="30">
        <v>0</v>
      </c>
    </row>
    <row r="872" spans="1:36" ht="173.25" x14ac:dyDescent="0.25">
      <c r="A872" s="6">
        <v>869</v>
      </c>
      <c r="B872" s="31">
        <v>140086</v>
      </c>
      <c r="C872" s="31">
        <v>870</v>
      </c>
      <c r="D872" s="177" t="s">
        <v>146</v>
      </c>
      <c r="E872" s="82" t="s">
        <v>1686</v>
      </c>
      <c r="F872" s="31" t="s">
        <v>1684</v>
      </c>
      <c r="G872" s="11" t="s">
        <v>133</v>
      </c>
      <c r="H872" s="32" t="s">
        <v>1685</v>
      </c>
      <c r="I872" s="33" t="s">
        <v>3039</v>
      </c>
      <c r="J872" s="25">
        <v>44173</v>
      </c>
      <c r="K872" s="25">
        <v>45238</v>
      </c>
      <c r="L872" s="26">
        <f t="shared" si="297"/>
        <v>83.983863166666666</v>
      </c>
      <c r="M872" s="11" t="s">
        <v>1343</v>
      </c>
      <c r="N872" s="11" t="s">
        <v>261</v>
      </c>
      <c r="O872" s="11" t="s">
        <v>137</v>
      </c>
      <c r="P872" s="27" t="s">
        <v>138</v>
      </c>
      <c r="Q872" s="11" t="s">
        <v>34</v>
      </c>
      <c r="R872" s="1">
        <f t="shared" si="298"/>
        <v>10078063.58</v>
      </c>
      <c r="S872" s="2">
        <v>8127080.1999999993</v>
      </c>
      <c r="T872" s="2">
        <v>1950983.3800000001</v>
      </c>
      <c r="U872" s="1">
        <f t="shared" si="299"/>
        <v>347356.29</v>
      </c>
      <c r="V872" s="28">
        <v>256699.24</v>
      </c>
      <c r="W872" s="28">
        <v>90657.05</v>
      </c>
      <c r="X872" s="1">
        <f t="shared" si="300"/>
        <v>1574580.1300000001</v>
      </c>
      <c r="Y872" s="2">
        <v>1177491.3700000001</v>
      </c>
      <c r="Z872" s="2">
        <v>397088.76</v>
      </c>
      <c r="AA872" s="2">
        <f t="shared" si="301"/>
        <v>0</v>
      </c>
      <c r="AB872" s="2">
        <v>0</v>
      </c>
      <c r="AC872" s="2">
        <v>0</v>
      </c>
      <c r="AD872" s="16">
        <f t="shared" si="296"/>
        <v>12000000</v>
      </c>
      <c r="AE872" s="2">
        <v>221760</v>
      </c>
      <c r="AF872" s="2">
        <f t="shared" si="302"/>
        <v>12221760</v>
      </c>
      <c r="AG872" s="38" t="s">
        <v>486</v>
      </c>
      <c r="AH872" s="29" t="s">
        <v>2203</v>
      </c>
      <c r="AI872" s="30">
        <f>21467.12+49840.23+117936.7+261795.59+223790.27+286537.33</f>
        <v>961367.24</v>
      </c>
      <c r="AJ872" s="30">
        <f>166.51+868.29+2873+1391.8+2907.81+12088.96</f>
        <v>20296.37</v>
      </c>
    </row>
    <row r="873" spans="1:36" ht="283.5" x14ac:dyDescent="0.25">
      <c r="A873" s="6">
        <v>870</v>
      </c>
      <c r="B873" s="31">
        <v>129968</v>
      </c>
      <c r="C873" s="31">
        <v>697</v>
      </c>
      <c r="D873" s="177" t="s">
        <v>143</v>
      </c>
      <c r="E873" s="82" t="s">
        <v>1056</v>
      </c>
      <c r="F873" s="31" t="s">
        <v>1690</v>
      </c>
      <c r="G873" s="11" t="s">
        <v>1689</v>
      </c>
      <c r="H873" s="8" t="s">
        <v>151</v>
      </c>
      <c r="I873" s="33" t="s">
        <v>3040</v>
      </c>
      <c r="J873" s="25">
        <v>44180</v>
      </c>
      <c r="K873" s="25">
        <v>45214</v>
      </c>
      <c r="L873" s="26">
        <f t="shared" si="297"/>
        <v>83.983862447702634</v>
      </c>
      <c r="M873" s="11" t="s">
        <v>1343</v>
      </c>
      <c r="N873" s="11" t="s">
        <v>280</v>
      </c>
      <c r="O873" s="11" t="s">
        <v>280</v>
      </c>
      <c r="P873" s="27" t="s">
        <v>138</v>
      </c>
      <c r="Q873" s="11" t="s">
        <v>34</v>
      </c>
      <c r="R873" s="1">
        <f t="shared" si="298"/>
        <v>4995589.0699999994</v>
      </c>
      <c r="S873" s="2">
        <v>4028507.3399999994</v>
      </c>
      <c r="T873" s="2">
        <v>967081.7300000001</v>
      </c>
      <c r="U873" s="1">
        <f t="shared" si="299"/>
        <v>833718.07</v>
      </c>
      <c r="V873" s="28">
        <v>616124.67999999993</v>
      </c>
      <c r="W873" s="28">
        <v>217593.39</v>
      </c>
      <c r="X873" s="1">
        <f t="shared" si="300"/>
        <v>118965.45000000001</v>
      </c>
      <c r="Y873" s="2">
        <v>94788.41</v>
      </c>
      <c r="Z873" s="2">
        <v>24177.040000000001</v>
      </c>
      <c r="AA873" s="2">
        <f t="shared" si="301"/>
        <v>0</v>
      </c>
      <c r="AB873" s="2">
        <v>0</v>
      </c>
      <c r="AC873" s="2">
        <v>0</v>
      </c>
      <c r="AD873" s="16">
        <f t="shared" si="296"/>
        <v>5948272.5899999999</v>
      </c>
      <c r="AE873" s="2">
        <v>0</v>
      </c>
      <c r="AF873" s="2">
        <f t="shared" si="302"/>
        <v>5948272.5899999999</v>
      </c>
      <c r="AG873" s="38" t="s">
        <v>486</v>
      </c>
      <c r="AH873" s="29" t="s">
        <v>2202</v>
      </c>
      <c r="AI873" s="30">
        <f>61603.51+58170.71+104286.12+39835.23+64680.74</f>
        <v>328576.31</v>
      </c>
      <c r="AJ873" s="30">
        <f>10281.06+9708.16+17404.4+6648.14+10794.63</f>
        <v>54836.39</v>
      </c>
    </row>
    <row r="874" spans="1:36" ht="236.25" x14ac:dyDescent="0.25">
      <c r="A874" s="6">
        <v>871</v>
      </c>
      <c r="B874" s="31">
        <v>129831</v>
      </c>
      <c r="C874" s="31">
        <v>735</v>
      </c>
      <c r="D874" s="177" t="s">
        <v>143</v>
      </c>
      <c r="E874" s="82" t="s">
        <v>1056</v>
      </c>
      <c r="F874" s="31" t="s">
        <v>1691</v>
      </c>
      <c r="G874" s="11" t="s">
        <v>1372</v>
      </c>
      <c r="H874" s="8" t="s">
        <v>151</v>
      </c>
      <c r="I874" s="33" t="s">
        <v>3041</v>
      </c>
      <c r="J874" s="25">
        <v>44180</v>
      </c>
      <c r="K874" s="25">
        <v>45275</v>
      </c>
      <c r="L874" s="26">
        <f t="shared" si="297"/>
        <v>83.983862922382244</v>
      </c>
      <c r="M874" s="11" t="s">
        <v>1343</v>
      </c>
      <c r="N874" s="11" t="s">
        <v>261</v>
      </c>
      <c r="O874" s="11" t="s">
        <v>137</v>
      </c>
      <c r="P874" s="27" t="s">
        <v>138</v>
      </c>
      <c r="Q874" s="11" t="s">
        <v>34</v>
      </c>
      <c r="R874" s="1">
        <f t="shared" si="298"/>
        <v>18216236.560000002</v>
      </c>
      <c r="S874" s="2">
        <v>14689807.710000001</v>
      </c>
      <c r="T874" s="2">
        <v>3526428.8499999996</v>
      </c>
      <c r="U874" s="1">
        <f t="shared" si="299"/>
        <v>0</v>
      </c>
      <c r="V874" s="28">
        <v>0</v>
      </c>
      <c r="W874" s="28">
        <v>0</v>
      </c>
      <c r="X874" s="1">
        <f t="shared" si="300"/>
        <v>3473926.2</v>
      </c>
      <c r="Y874" s="2">
        <v>2592318.9700000002</v>
      </c>
      <c r="Z874" s="2">
        <v>881607.23</v>
      </c>
      <c r="AA874" s="2">
        <f t="shared" si="301"/>
        <v>0</v>
      </c>
      <c r="AB874" s="2">
        <v>0</v>
      </c>
      <c r="AC874" s="2">
        <v>0</v>
      </c>
      <c r="AD874" s="16">
        <f t="shared" si="296"/>
        <v>21690162.760000002</v>
      </c>
      <c r="AE874" s="2">
        <v>0</v>
      </c>
      <c r="AF874" s="2">
        <f t="shared" si="302"/>
        <v>21690162.760000002</v>
      </c>
      <c r="AG874" s="38" t="s">
        <v>486</v>
      </c>
      <c r="AH874" s="29" t="s">
        <v>3309</v>
      </c>
      <c r="AI874" s="30">
        <f>21447.73+46034.92+1736722.95+1104817.86</f>
        <v>2909023.46</v>
      </c>
      <c r="AJ874" s="30">
        <v>0</v>
      </c>
    </row>
    <row r="875" spans="1:36" ht="141.75" x14ac:dyDescent="0.25">
      <c r="A875" s="6">
        <v>872</v>
      </c>
      <c r="B875" s="31">
        <v>147622</v>
      </c>
      <c r="C875" s="31">
        <v>872</v>
      </c>
      <c r="D875" s="177" t="s">
        <v>143</v>
      </c>
      <c r="E875" s="82" t="s">
        <v>1692</v>
      </c>
      <c r="F875" s="31" t="s">
        <v>1693</v>
      </c>
      <c r="G875" s="11" t="s">
        <v>1350</v>
      </c>
      <c r="H875" s="8" t="s">
        <v>151</v>
      </c>
      <c r="I875" s="33" t="s">
        <v>2253</v>
      </c>
      <c r="J875" s="25">
        <v>44182</v>
      </c>
      <c r="K875" s="25">
        <v>44912</v>
      </c>
      <c r="L875" s="26">
        <f t="shared" si="297"/>
        <v>83.911615729320985</v>
      </c>
      <c r="M875" s="11" t="s">
        <v>1343</v>
      </c>
      <c r="N875" s="11" t="s">
        <v>261</v>
      </c>
      <c r="O875" s="11" t="s">
        <v>137</v>
      </c>
      <c r="P875" s="27" t="s">
        <v>138</v>
      </c>
      <c r="Q875" s="11" t="s">
        <v>34</v>
      </c>
      <c r="R875" s="1">
        <f t="shared" si="298"/>
        <v>5698223.4299999988</v>
      </c>
      <c r="S875" s="2">
        <v>4515672.5999999987</v>
      </c>
      <c r="T875" s="2">
        <v>1182550.83</v>
      </c>
      <c r="U875" s="1">
        <f t="shared" si="299"/>
        <v>0</v>
      </c>
      <c r="V875" s="28">
        <v>0</v>
      </c>
      <c r="W875" s="28">
        <v>0</v>
      </c>
      <c r="X875" s="1">
        <f t="shared" si="300"/>
        <v>1092521.07</v>
      </c>
      <c r="Y875" s="2">
        <v>796883.4</v>
      </c>
      <c r="Z875" s="2">
        <v>295637.67</v>
      </c>
      <c r="AA875" s="2">
        <f t="shared" si="301"/>
        <v>0</v>
      </c>
      <c r="AB875" s="2">
        <v>0</v>
      </c>
      <c r="AC875" s="2">
        <v>0</v>
      </c>
      <c r="AD875" s="16">
        <f t="shared" si="296"/>
        <v>6790744.4999999991</v>
      </c>
      <c r="AE875" s="2">
        <v>0</v>
      </c>
      <c r="AF875" s="2">
        <f t="shared" si="302"/>
        <v>6790744.4999999991</v>
      </c>
      <c r="AG875" s="38" t="s">
        <v>486</v>
      </c>
      <c r="AH875" s="29" t="s">
        <v>2252</v>
      </c>
      <c r="AI875" s="30">
        <f>4503721.85+76276.87+7975.8</f>
        <v>4587974.5199999996</v>
      </c>
      <c r="AJ875" s="30">
        <v>0</v>
      </c>
    </row>
    <row r="876" spans="1:36" ht="230.25" customHeight="1" x14ac:dyDescent="0.25">
      <c r="A876" s="6">
        <v>873</v>
      </c>
      <c r="B876" s="31">
        <v>129973</v>
      </c>
      <c r="C876" s="31">
        <v>698</v>
      </c>
      <c r="D876" s="177" t="s">
        <v>143</v>
      </c>
      <c r="E876" s="82" t="s">
        <v>1056</v>
      </c>
      <c r="F876" s="31" t="s">
        <v>1695</v>
      </c>
      <c r="G876" s="11" t="s">
        <v>1694</v>
      </c>
      <c r="H876" s="8" t="s">
        <v>151</v>
      </c>
      <c r="I876" s="33" t="s">
        <v>3042</v>
      </c>
      <c r="J876" s="25">
        <v>44186</v>
      </c>
      <c r="K876" s="25">
        <v>45281</v>
      </c>
      <c r="L876" s="26">
        <f t="shared" si="297"/>
        <v>83.98386290096785</v>
      </c>
      <c r="M876" s="11" t="s">
        <v>1343</v>
      </c>
      <c r="N876" s="11" t="s">
        <v>261</v>
      </c>
      <c r="O876" s="11" t="s">
        <v>137</v>
      </c>
      <c r="P876" s="27" t="s">
        <v>138</v>
      </c>
      <c r="Q876" s="11" t="s">
        <v>34</v>
      </c>
      <c r="R876" s="1">
        <f t="shared" si="298"/>
        <v>11483727.949999997</v>
      </c>
      <c r="S876" s="2">
        <v>9260626.0799999982</v>
      </c>
      <c r="T876" s="2">
        <v>2223101.8699999996</v>
      </c>
      <c r="U876" s="1">
        <f t="shared" si="299"/>
        <v>0</v>
      </c>
      <c r="V876" s="28">
        <v>0</v>
      </c>
      <c r="W876" s="28">
        <v>0</v>
      </c>
      <c r="X876" s="1">
        <f t="shared" si="300"/>
        <v>2190003.59</v>
      </c>
      <c r="Y876" s="2">
        <v>1634228.11</v>
      </c>
      <c r="Z876" s="2">
        <v>555775.48</v>
      </c>
      <c r="AA876" s="2">
        <f t="shared" si="301"/>
        <v>0</v>
      </c>
      <c r="AB876" s="2">
        <v>0</v>
      </c>
      <c r="AC876" s="2">
        <v>0</v>
      </c>
      <c r="AD876" s="16">
        <f t="shared" si="296"/>
        <v>13673731.539999997</v>
      </c>
      <c r="AE876" s="2">
        <v>0</v>
      </c>
      <c r="AF876" s="2">
        <f t="shared" si="302"/>
        <v>13673731.539999997</v>
      </c>
      <c r="AG876" s="38" t="s">
        <v>486</v>
      </c>
      <c r="AH876" s="29" t="s">
        <v>3318</v>
      </c>
      <c r="AI876" s="30">
        <f>10340.09+112233.26</f>
        <v>122573.34999999999</v>
      </c>
      <c r="AJ876" s="30">
        <v>0</v>
      </c>
    </row>
    <row r="877" spans="1:36" ht="252" x14ac:dyDescent="0.25">
      <c r="A877" s="6">
        <v>874</v>
      </c>
      <c r="B877" s="31">
        <v>130045</v>
      </c>
      <c r="C877" s="31">
        <v>742</v>
      </c>
      <c r="D877" s="177" t="s">
        <v>143</v>
      </c>
      <c r="E877" s="82" t="s">
        <v>1056</v>
      </c>
      <c r="F877" s="31" t="s">
        <v>1697</v>
      </c>
      <c r="G877" s="11" t="s">
        <v>1696</v>
      </c>
      <c r="H877" s="8" t="s">
        <v>151</v>
      </c>
      <c r="I877" s="33" t="s">
        <v>3043</v>
      </c>
      <c r="J877" s="25">
        <v>44187</v>
      </c>
      <c r="K877" s="25">
        <v>45099</v>
      </c>
      <c r="L877" s="26">
        <f t="shared" si="297"/>
        <v>83.983862773667468</v>
      </c>
      <c r="M877" s="11" t="s">
        <v>1343</v>
      </c>
      <c r="N877" s="11" t="s">
        <v>261</v>
      </c>
      <c r="O877" s="11" t="s">
        <v>137</v>
      </c>
      <c r="P877" s="27" t="s">
        <v>138</v>
      </c>
      <c r="Q877" s="11" t="s">
        <v>34</v>
      </c>
      <c r="R877" s="1">
        <f t="shared" si="298"/>
        <v>11892012.710000001</v>
      </c>
      <c r="S877" s="2">
        <v>9589872.1699999999</v>
      </c>
      <c r="T877" s="2">
        <v>2302140.5400000005</v>
      </c>
      <c r="U877" s="1">
        <f t="shared" si="299"/>
        <v>0</v>
      </c>
      <c r="V877" s="28">
        <v>0</v>
      </c>
      <c r="W877" s="28">
        <v>0</v>
      </c>
      <c r="X877" s="1">
        <f t="shared" si="300"/>
        <v>2267865.5299999998</v>
      </c>
      <c r="Y877" s="2">
        <v>1692330.38</v>
      </c>
      <c r="Z877" s="2">
        <v>575535.15</v>
      </c>
      <c r="AA877" s="2">
        <f t="shared" si="301"/>
        <v>0</v>
      </c>
      <c r="AB877" s="2">
        <v>0</v>
      </c>
      <c r="AC877" s="2">
        <v>0</v>
      </c>
      <c r="AD877" s="16">
        <f t="shared" si="296"/>
        <v>14159878.24</v>
      </c>
      <c r="AE877" s="2">
        <v>0</v>
      </c>
      <c r="AF877" s="2">
        <f t="shared" si="302"/>
        <v>14159878.24</v>
      </c>
      <c r="AG877" s="38" t="s">
        <v>486</v>
      </c>
      <c r="AH877" s="29" t="s">
        <v>3259</v>
      </c>
      <c r="AI877" s="30">
        <f>15385.84+142645.75</f>
        <v>158031.59</v>
      </c>
      <c r="AJ877" s="30">
        <v>0</v>
      </c>
    </row>
    <row r="878" spans="1:36" ht="220.5" x14ac:dyDescent="0.25">
      <c r="A878" s="6">
        <v>875</v>
      </c>
      <c r="B878" s="31">
        <v>130054</v>
      </c>
      <c r="C878" s="31">
        <v>743</v>
      </c>
      <c r="D878" s="177" t="s">
        <v>143</v>
      </c>
      <c r="E878" s="82" t="s">
        <v>1056</v>
      </c>
      <c r="F878" s="31" t="s">
        <v>1699</v>
      </c>
      <c r="G878" s="11" t="s">
        <v>1698</v>
      </c>
      <c r="H878" s="8" t="s">
        <v>151</v>
      </c>
      <c r="I878" s="33" t="s">
        <v>3044</v>
      </c>
      <c r="J878" s="25">
        <v>44186</v>
      </c>
      <c r="K878" s="25">
        <v>45098</v>
      </c>
      <c r="L878" s="26">
        <f t="shared" si="297"/>
        <v>83.983862881970154</v>
      </c>
      <c r="M878" s="11" t="s">
        <v>1343</v>
      </c>
      <c r="N878" s="11" t="s">
        <v>261</v>
      </c>
      <c r="O878" s="11" t="s">
        <v>137</v>
      </c>
      <c r="P878" s="27" t="s">
        <v>138</v>
      </c>
      <c r="Q878" s="11" t="s">
        <v>34</v>
      </c>
      <c r="R878" s="1">
        <f t="shared" si="298"/>
        <v>12463109.93</v>
      </c>
      <c r="S878" s="2">
        <v>10050412.300000001</v>
      </c>
      <c r="T878" s="2">
        <v>2412697.63</v>
      </c>
      <c r="U878" s="1">
        <f t="shared" si="299"/>
        <v>0</v>
      </c>
      <c r="V878" s="28">
        <v>0</v>
      </c>
      <c r="W878" s="28">
        <v>0</v>
      </c>
      <c r="X878" s="1">
        <f t="shared" si="300"/>
        <v>2376776.5699999998</v>
      </c>
      <c r="Y878" s="2">
        <v>1773602.17</v>
      </c>
      <c r="Z878" s="2">
        <v>603174.40000000002</v>
      </c>
      <c r="AA878" s="2">
        <f t="shared" si="301"/>
        <v>0</v>
      </c>
      <c r="AB878" s="2">
        <v>0</v>
      </c>
      <c r="AC878" s="2">
        <v>0</v>
      </c>
      <c r="AD878" s="16">
        <f t="shared" si="296"/>
        <v>14839886.5</v>
      </c>
      <c r="AE878" s="2">
        <v>0</v>
      </c>
      <c r="AF878" s="2">
        <f t="shared" si="302"/>
        <v>14839886.5</v>
      </c>
      <c r="AG878" s="38" t="s">
        <v>486</v>
      </c>
      <c r="AH878" s="29"/>
      <c r="AI878" s="30">
        <v>33593.550000000003</v>
      </c>
      <c r="AJ878" s="30">
        <v>0</v>
      </c>
    </row>
    <row r="879" spans="1:36" ht="189" x14ac:dyDescent="0.25">
      <c r="A879" s="6">
        <v>876</v>
      </c>
      <c r="B879" s="31">
        <v>135024</v>
      </c>
      <c r="C879" s="31">
        <v>868</v>
      </c>
      <c r="D879" s="177" t="s">
        <v>143</v>
      </c>
      <c r="E879" s="82" t="s">
        <v>1622</v>
      </c>
      <c r="F879" s="31" t="s">
        <v>1700</v>
      </c>
      <c r="G879" s="11" t="s">
        <v>515</v>
      </c>
      <c r="H879" s="11" t="s">
        <v>1701</v>
      </c>
      <c r="I879" s="33" t="s">
        <v>3045</v>
      </c>
      <c r="J879" s="25">
        <v>44186</v>
      </c>
      <c r="K879" s="25">
        <v>45098</v>
      </c>
      <c r="L879" s="26">
        <f>R879/AD879*100</f>
        <v>83.98386335793829</v>
      </c>
      <c r="M879" s="11" t="s">
        <v>1343</v>
      </c>
      <c r="N879" s="11" t="s">
        <v>261</v>
      </c>
      <c r="O879" s="11" t="s">
        <v>137</v>
      </c>
      <c r="P879" s="27" t="s">
        <v>138</v>
      </c>
      <c r="Q879" s="11" t="s">
        <v>34</v>
      </c>
      <c r="R879" s="1">
        <f t="shared" si="298"/>
        <v>10518279.300000001</v>
      </c>
      <c r="S879" s="2">
        <v>8482075.9199999999</v>
      </c>
      <c r="T879" s="2">
        <v>2036203.38</v>
      </c>
      <c r="U879" s="1">
        <f t="shared" si="299"/>
        <v>826424.82000000007</v>
      </c>
      <c r="V879" s="28">
        <v>610734.86</v>
      </c>
      <c r="W879" s="28">
        <v>215689.96000000002</v>
      </c>
      <c r="X879" s="1">
        <f t="shared" si="300"/>
        <v>1179462.8800000001</v>
      </c>
      <c r="Y879" s="2">
        <v>886101.92</v>
      </c>
      <c r="Z879" s="2">
        <v>293360.96000000002</v>
      </c>
      <c r="AA879" s="2">
        <f t="shared" si="301"/>
        <v>0</v>
      </c>
      <c r="AB879" s="2">
        <v>0</v>
      </c>
      <c r="AC879" s="2">
        <v>0</v>
      </c>
      <c r="AD879" s="16">
        <f t="shared" si="296"/>
        <v>12524167.000000002</v>
      </c>
      <c r="AE879" s="2">
        <v>0</v>
      </c>
      <c r="AF879" s="2">
        <f t="shared" si="302"/>
        <v>12524167.000000002</v>
      </c>
      <c r="AG879" s="38" t="s">
        <v>486</v>
      </c>
      <c r="AH879" s="29"/>
      <c r="AI879" s="30">
        <f>31769.95+23519.68+153435.5+38677.92+32238.93+307239.04+109273.92+327032.98</f>
        <v>1023187.92</v>
      </c>
      <c r="AJ879" s="30">
        <f>5302.12+3856.54+3923.68+2567.06+5380.38+51003.13+18236.82+46260.93</f>
        <v>136530.66</v>
      </c>
    </row>
    <row r="880" spans="1:36" ht="330.75" x14ac:dyDescent="0.25">
      <c r="A880" s="6">
        <v>877</v>
      </c>
      <c r="B880" s="31">
        <v>129541</v>
      </c>
      <c r="C880" s="31">
        <v>709</v>
      </c>
      <c r="D880" s="177" t="s">
        <v>143</v>
      </c>
      <c r="E880" s="82" t="s">
        <v>1056</v>
      </c>
      <c r="F880" s="31" t="s">
        <v>1703</v>
      </c>
      <c r="G880" s="11" t="s">
        <v>1702</v>
      </c>
      <c r="H880" s="11" t="s">
        <v>1704</v>
      </c>
      <c r="I880" s="33" t="s">
        <v>3046</v>
      </c>
      <c r="J880" s="25">
        <v>44187</v>
      </c>
      <c r="K880" s="25">
        <v>45038</v>
      </c>
      <c r="L880" s="26">
        <f t="shared" ref="L880:L893" si="303">R880/AD880*100</f>
        <v>83.98386306929801</v>
      </c>
      <c r="M880" s="11" t="s">
        <v>1343</v>
      </c>
      <c r="N880" s="11" t="s">
        <v>261</v>
      </c>
      <c r="O880" s="11" t="s">
        <v>137</v>
      </c>
      <c r="P880" s="27" t="s">
        <v>138</v>
      </c>
      <c r="Q880" s="11" t="s">
        <v>34</v>
      </c>
      <c r="R880" s="1">
        <f t="shared" si="298"/>
        <v>5951029.3500000043</v>
      </c>
      <c r="S880" s="2">
        <v>4798986.7300000042</v>
      </c>
      <c r="T880" s="2">
        <v>1152042.6200000003</v>
      </c>
      <c r="U880" s="1">
        <f t="shared" si="299"/>
        <v>551557.41999999993</v>
      </c>
      <c r="V880" s="28">
        <v>407605.53999999986</v>
      </c>
      <c r="W880" s="28">
        <v>143951.88</v>
      </c>
      <c r="X880" s="1">
        <f t="shared" si="300"/>
        <v>583333.23</v>
      </c>
      <c r="Y880" s="2">
        <v>439274.4</v>
      </c>
      <c r="Z880" s="2">
        <v>144058.82999999999</v>
      </c>
      <c r="AA880" s="2">
        <f t="shared" si="301"/>
        <v>0</v>
      </c>
      <c r="AB880" s="2">
        <v>0</v>
      </c>
      <c r="AC880" s="2">
        <v>0</v>
      </c>
      <c r="AD880" s="16">
        <f t="shared" si="296"/>
        <v>7085920.0000000037</v>
      </c>
      <c r="AE880" s="2">
        <v>0</v>
      </c>
      <c r="AF880" s="2">
        <f t="shared" si="302"/>
        <v>7085920.0000000037</v>
      </c>
      <c r="AG880" s="38" t="s">
        <v>486</v>
      </c>
      <c r="AH880" s="29"/>
      <c r="AI880" s="30">
        <f>52982.07+161729.07+1008893.61+1441425.72</f>
        <v>2665030.4699999997</v>
      </c>
      <c r="AJ880" s="30">
        <f>26991.1+134421.09+156722.83</f>
        <v>318135.02</v>
      </c>
    </row>
    <row r="881" spans="1:36" ht="141.75" x14ac:dyDescent="0.25">
      <c r="A881" s="6">
        <v>878</v>
      </c>
      <c r="B881" s="31">
        <v>134024</v>
      </c>
      <c r="C881" s="31">
        <v>754</v>
      </c>
      <c r="D881" s="177" t="s">
        <v>143</v>
      </c>
      <c r="E881" s="82" t="s">
        <v>1622</v>
      </c>
      <c r="F881" s="31" t="s">
        <v>1705</v>
      </c>
      <c r="G881" s="11" t="s">
        <v>74</v>
      </c>
      <c r="H881" s="11" t="s">
        <v>1706</v>
      </c>
      <c r="I881" s="33" t="s">
        <v>1707</v>
      </c>
      <c r="J881" s="25">
        <v>44186</v>
      </c>
      <c r="K881" s="25">
        <v>45037</v>
      </c>
      <c r="L881" s="26">
        <f t="shared" si="303"/>
        <v>83.208378225753307</v>
      </c>
      <c r="M881" s="11" t="s">
        <v>1343</v>
      </c>
      <c r="N881" s="11" t="s">
        <v>261</v>
      </c>
      <c r="O881" s="11" t="s">
        <v>137</v>
      </c>
      <c r="P881" s="27" t="s">
        <v>138</v>
      </c>
      <c r="Q881" s="11" t="s">
        <v>34</v>
      </c>
      <c r="R881" s="1">
        <f t="shared" si="298"/>
        <v>9711600.1300000008</v>
      </c>
      <c r="S881" s="2">
        <v>7831559.3700000001</v>
      </c>
      <c r="T881" s="2">
        <v>1880040.7600000005</v>
      </c>
      <c r="U881" s="1">
        <f t="shared" si="299"/>
        <v>845775.4</v>
      </c>
      <c r="V881" s="28">
        <v>631135.92000000004</v>
      </c>
      <c r="W881" s="28">
        <v>214639.48</v>
      </c>
      <c r="X881" s="1">
        <f t="shared" si="300"/>
        <v>1006274.6499999999</v>
      </c>
      <c r="Y881" s="2">
        <v>750903.95</v>
      </c>
      <c r="Z881" s="2">
        <v>255370.7</v>
      </c>
      <c r="AA881" s="2">
        <f t="shared" si="301"/>
        <v>107770.81999999999</v>
      </c>
      <c r="AB881" s="2">
        <v>85868.84</v>
      </c>
      <c r="AC881" s="2">
        <v>21901.98</v>
      </c>
      <c r="AD881" s="16">
        <f t="shared" si="296"/>
        <v>11671421.000000002</v>
      </c>
      <c r="AE881" s="2">
        <v>0</v>
      </c>
      <c r="AF881" s="2">
        <f t="shared" si="302"/>
        <v>11671421.000000002</v>
      </c>
      <c r="AG881" s="38" t="s">
        <v>486</v>
      </c>
      <c r="AH881" s="29"/>
      <c r="AI881" s="30">
        <f>538854.1+63624.76+538184.06+226337.66+311578.82+187470.88+333222.73+578301.93+19594.69+364744.85+165671.93+332886.8+374787.25+512689.26+17652.98</f>
        <v>4565602.7</v>
      </c>
      <c r="AJ881" s="30">
        <f>44378.82+49792.27+49902.89+53369.41+55778.96+58418.04+53315.61+55557.94+55672.3+55796.79</f>
        <v>531983.02999999991</v>
      </c>
    </row>
    <row r="882" spans="1:36" ht="141.75" x14ac:dyDescent="0.25">
      <c r="A882" s="6">
        <v>879</v>
      </c>
      <c r="B882" s="31">
        <v>129365</v>
      </c>
      <c r="C882" s="31">
        <v>695</v>
      </c>
      <c r="D882" s="177" t="s">
        <v>143</v>
      </c>
      <c r="E882" s="82" t="s">
        <v>1056</v>
      </c>
      <c r="F882" s="31" t="s">
        <v>1708</v>
      </c>
      <c r="G882" s="11" t="s">
        <v>74</v>
      </c>
      <c r="H882" s="8" t="s">
        <v>151</v>
      </c>
      <c r="I882" s="33" t="s">
        <v>3047</v>
      </c>
      <c r="J882" s="25">
        <v>44188</v>
      </c>
      <c r="K882" s="25">
        <v>45253</v>
      </c>
      <c r="L882" s="26">
        <f t="shared" si="303"/>
        <v>83.983862328307552</v>
      </c>
      <c r="M882" s="11" t="s">
        <v>1343</v>
      </c>
      <c r="N882" s="11" t="s">
        <v>261</v>
      </c>
      <c r="O882" s="11" t="s">
        <v>137</v>
      </c>
      <c r="P882" s="27" t="s">
        <v>138</v>
      </c>
      <c r="Q882" s="11" t="s">
        <v>34</v>
      </c>
      <c r="R882" s="1">
        <f t="shared" si="298"/>
        <v>5064322.6399999997</v>
      </c>
      <c r="S882" s="2">
        <v>4083934.8599999994</v>
      </c>
      <c r="T882" s="2">
        <v>980387.78</v>
      </c>
      <c r="U882" s="1">
        <f t="shared" si="299"/>
        <v>0</v>
      </c>
      <c r="V882" s="28">
        <v>0</v>
      </c>
      <c r="W882" s="28">
        <v>0</v>
      </c>
      <c r="X882" s="1">
        <f t="shared" si="300"/>
        <v>965791.3600000001</v>
      </c>
      <c r="Y882" s="2">
        <v>720694.56</v>
      </c>
      <c r="Z882" s="2">
        <v>245096.8</v>
      </c>
      <c r="AA882" s="2">
        <f t="shared" si="301"/>
        <v>0</v>
      </c>
      <c r="AB882" s="2">
        <v>0</v>
      </c>
      <c r="AC882" s="2">
        <v>0</v>
      </c>
      <c r="AD882" s="16">
        <f t="shared" si="296"/>
        <v>6030114</v>
      </c>
      <c r="AE882" s="2">
        <v>0</v>
      </c>
      <c r="AF882" s="2">
        <f t="shared" si="302"/>
        <v>6030114</v>
      </c>
      <c r="AG882" s="38" t="s">
        <v>486</v>
      </c>
      <c r="AH882" s="29" t="s">
        <v>1976</v>
      </c>
      <c r="AI882" s="30">
        <f>66550.23+165036.84+105796.69+558757.48+121282.91+367278.79</f>
        <v>1384702.94</v>
      </c>
      <c r="AJ882" s="30">
        <v>0</v>
      </c>
    </row>
    <row r="883" spans="1:36" ht="204.75" x14ac:dyDescent="0.25">
      <c r="A883" s="6">
        <v>880</v>
      </c>
      <c r="B883" s="31">
        <v>136668</v>
      </c>
      <c r="C883" s="31">
        <v>865</v>
      </c>
      <c r="D883" s="177" t="s">
        <v>143</v>
      </c>
      <c r="E883" s="82" t="s">
        <v>1622</v>
      </c>
      <c r="F883" s="31" t="s">
        <v>1709</v>
      </c>
      <c r="G883" s="11" t="s">
        <v>515</v>
      </c>
      <c r="H883" s="11" t="s">
        <v>1642</v>
      </c>
      <c r="I883" s="33" t="s">
        <v>3048</v>
      </c>
      <c r="J883" s="25">
        <v>44188</v>
      </c>
      <c r="K883" s="25">
        <v>45283</v>
      </c>
      <c r="L883" s="26">
        <f t="shared" si="303"/>
        <v>83.983862901069841</v>
      </c>
      <c r="M883" s="11" t="s">
        <v>1343</v>
      </c>
      <c r="N883" s="11" t="s">
        <v>261</v>
      </c>
      <c r="O883" s="11" t="s">
        <v>137</v>
      </c>
      <c r="P883" s="27" t="s">
        <v>138</v>
      </c>
      <c r="Q883" s="11" t="s">
        <v>34</v>
      </c>
      <c r="R883" s="1">
        <f t="shared" si="298"/>
        <v>9968940.5099999979</v>
      </c>
      <c r="S883" s="2">
        <v>8039081.9699999969</v>
      </c>
      <c r="T883" s="2">
        <v>1929858.54</v>
      </c>
      <c r="U883" s="1">
        <f t="shared" si="299"/>
        <v>698109.62000000011</v>
      </c>
      <c r="V883" s="28">
        <v>515908.89000000013</v>
      </c>
      <c r="W883" s="28">
        <v>182200.72999999995</v>
      </c>
      <c r="X883" s="1">
        <f t="shared" si="300"/>
        <v>1203016.53</v>
      </c>
      <c r="Y883" s="2">
        <v>902752.63</v>
      </c>
      <c r="Z883" s="2">
        <v>300263.90000000002</v>
      </c>
      <c r="AA883" s="2">
        <f t="shared" si="301"/>
        <v>0</v>
      </c>
      <c r="AB883" s="2">
        <v>0</v>
      </c>
      <c r="AC883" s="2">
        <v>0</v>
      </c>
      <c r="AD883" s="16">
        <f t="shared" si="296"/>
        <v>11870066.659999998</v>
      </c>
      <c r="AE883" s="2">
        <v>0</v>
      </c>
      <c r="AF883" s="2">
        <f t="shared" si="302"/>
        <v>11870066.659999998</v>
      </c>
      <c r="AG883" s="38" t="s">
        <v>486</v>
      </c>
      <c r="AH883" s="29" t="s">
        <v>3293</v>
      </c>
      <c r="AI883" s="30">
        <f>498000+242382.68+364875.45-38132.16+498000+370588.88-37963.87+276403.02+373112.58</f>
        <v>2547266.58</v>
      </c>
      <c r="AJ883" s="30">
        <f>40451.45+60894.37+73825.81+55566.97+39531.66+38492.94</f>
        <v>308763.2</v>
      </c>
    </row>
    <row r="884" spans="1:36" ht="141.75" x14ac:dyDescent="0.25">
      <c r="A884" s="6">
        <v>881</v>
      </c>
      <c r="B884" s="31">
        <v>136584</v>
      </c>
      <c r="C884" s="31">
        <v>867</v>
      </c>
      <c r="D884" s="177" t="s">
        <v>143</v>
      </c>
      <c r="E884" s="82" t="s">
        <v>1622</v>
      </c>
      <c r="F884" s="31" t="s">
        <v>1710</v>
      </c>
      <c r="G884" s="11" t="s">
        <v>1772</v>
      </c>
      <c r="H884" s="11" t="s">
        <v>1642</v>
      </c>
      <c r="I884" s="33" t="s">
        <v>1711</v>
      </c>
      <c r="J884" s="25">
        <v>44188</v>
      </c>
      <c r="K884" s="25">
        <v>45283</v>
      </c>
      <c r="L884" s="26">
        <f t="shared" si="303"/>
        <v>83.983863185742621</v>
      </c>
      <c r="M884" s="11" t="s">
        <v>1343</v>
      </c>
      <c r="N884" s="11" t="s">
        <v>261</v>
      </c>
      <c r="O884" s="11" t="s">
        <v>137</v>
      </c>
      <c r="P884" s="27" t="s">
        <v>138</v>
      </c>
      <c r="Q884" s="11" t="s">
        <v>34</v>
      </c>
      <c r="R884" s="1">
        <f t="shared" si="298"/>
        <v>8836684.2599999998</v>
      </c>
      <c r="S884" s="2">
        <v>7126015.9400000004</v>
      </c>
      <c r="T884" s="2">
        <v>1710668.3199999987</v>
      </c>
      <c r="U884" s="1">
        <f t="shared" si="299"/>
        <v>721551.53999999992</v>
      </c>
      <c r="V884" s="28">
        <v>533232.69999999995</v>
      </c>
      <c r="W884" s="28">
        <v>188318.83999999997</v>
      </c>
      <c r="X884" s="1">
        <f t="shared" si="300"/>
        <v>963647.72</v>
      </c>
      <c r="Y884" s="2">
        <v>724299.51</v>
      </c>
      <c r="Z884" s="2">
        <v>239348.21</v>
      </c>
      <c r="AA884" s="2">
        <f t="shared" si="301"/>
        <v>0</v>
      </c>
      <c r="AB884" s="2">
        <v>0</v>
      </c>
      <c r="AC884" s="2">
        <v>0</v>
      </c>
      <c r="AD884" s="16">
        <f t="shared" si="296"/>
        <v>10521883.52</v>
      </c>
      <c r="AE884" s="2">
        <v>0</v>
      </c>
      <c r="AF884" s="2">
        <f t="shared" si="302"/>
        <v>10521883.52</v>
      </c>
      <c r="AG884" s="38" t="s">
        <v>486</v>
      </c>
      <c r="AH884" s="29"/>
      <c r="AI884" s="30">
        <f>500000-26815.53+689230.27+19749.06+356445.7+316299.12+377069.15</f>
        <v>2231977.77</v>
      </c>
      <c r="AJ884" s="30">
        <f>26815.53+71461.81+65389.76+47413.08+42561.12+52191.33</f>
        <v>305832.63</v>
      </c>
    </row>
    <row r="885" spans="1:36" ht="141.75" x14ac:dyDescent="0.25">
      <c r="A885" s="6">
        <v>882</v>
      </c>
      <c r="B885" s="31">
        <v>142520</v>
      </c>
      <c r="C885" s="31">
        <v>871</v>
      </c>
      <c r="D885" s="177" t="s">
        <v>1731</v>
      </c>
      <c r="E885" s="82" t="s">
        <v>1730</v>
      </c>
      <c r="F885" s="31" t="s">
        <v>1728</v>
      </c>
      <c r="G885" s="11" t="s">
        <v>99</v>
      </c>
      <c r="H885" s="11" t="s">
        <v>1729</v>
      </c>
      <c r="I885" s="33" t="s">
        <v>3049</v>
      </c>
      <c r="J885" s="25">
        <v>44237</v>
      </c>
      <c r="K885" s="25">
        <v>45291</v>
      </c>
      <c r="L885" s="26">
        <f t="shared" si="303"/>
        <v>83.983862835167429</v>
      </c>
      <c r="M885" s="11" t="s">
        <v>1343</v>
      </c>
      <c r="N885" s="11" t="s">
        <v>261</v>
      </c>
      <c r="O885" s="11" t="s">
        <v>137</v>
      </c>
      <c r="P885" s="27" t="s">
        <v>138</v>
      </c>
      <c r="Q885" s="11" t="s">
        <v>34</v>
      </c>
      <c r="R885" s="1">
        <f t="shared" si="298"/>
        <v>80565489.459999993</v>
      </c>
      <c r="S885" s="2">
        <v>64969047.969999999</v>
      </c>
      <c r="T885" s="2">
        <v>15596441.49</v>
      </c>
      <c r="U885" s="1">
        <f t="shared" si="299"/>
        <v>0</v>
      </c>
      <c r="V885" s="28">
        <v>0</v>
      </c>
      <c r="W885" s="28">
        <v>0</v>
      </c>
      <c r="X885" s="1">
        <f t="shared" si="300"/>
        <v>15364236.489999998</v>
      </c>
      <c r="Y885" s="2">
        <v>11465126.109999999</v>
      </c>
      <c r="Z885" s="2">
        <v>3899110.38</v>
      </c>
      <c r="AA885" s="2">
        <f t="shared" si="301"/>
        <v>0</v>
      </c>
      <c r="AB885" s="2">
        <v>0</v>
      </c>
      <c r="AC885" s="2">
        <v>0</v>
      </c>
      <c r="AD885" s="16">
        <f t="shared" si="296"/>
        <v>95929725.949999988</v>
      </c>
      <c r="AE885" s="2">
        <v>38533625.200000003</v>
      </c>
      <c r="AF885" s="2">
        <f t="shared" si="302"/>
        <v>134463351.14999998</v>
      </c>
      <c r="AG885" s="38" t="s">
        <v>1412</v>
      </c>
      <c r="AH885" s="29" t="s">
        <v>3232</v>
      </c>
      <c r="AI885" s="30">
        <f>61524.06+249198.6</f>
        <v>310722.66000000003</v>
      </c>
      <c r="AJ885" s="30">
        <v>0</v>
      </c>
    </row>
    <row r="886" spans="1:36" ht="141.75" x14ac:dyDescent="0.25">
      <c r="A886" s="6">
        <v>883</v>
      </c>
      <c r="B886" s="31">
        <v>134321</v>
      </c>
      <c r="C886" s="31">
        <v>860</v>
      </c>
      <c r="D886" s="177" t="s">
        <v>143</v>
      </c>
      <c r="E886" s="82" t="s">
        <v>1622</v>
      </c>
      <c r="F886" s="31" t="s">
        <v>1736</v>
      </c>
      <c r="G886" s="11" t="s">
        <v>1735</v>
      </c>
      <c r="H886" s="8" t="s">
        <v>151</v>
      </c>
      <c r="I886" s="33" t="s">
        <v>3050</v>
      </c>
      <c r="J886" s="25">
        <v>44252</v>
      </c>
      <c r="K886" s="25">
        <v>45163</v>
      </c>
      <c r="L886" s="26">
        <f t="shared" si="303"/>
        <v>83.983862849138816</v>
      </c>
      <c r="M886" s="11" t="s">
        <v>1343</v>
      </c>
      <c r="N886" s="11" t="s">
        <v>261</v>
      </c>
      <c r="O886" s="11" t="s">
        <v>137</v>
      </c>
      <c r="P886" s="27" t="s">
        <v>138</v>
      </c>
      <c r="Q886" s="11" t="s">
        <v>34</v>
      </c>
      <c r="R886" s="1">
        <f t="shared" si="298"/>
        <v>6163224.3899999987</v>
      </c>
      <c r="S886" s="2">
        <v>4970103.5099999988</v>
      </c>
      <c r="T886" s="2">
        <v>1193120.8799999999</v>
      </c>
      <c r="U886" s="1">
        <f t="shared" si="299"/>
        <v>0</v>
      </c>
      <c r="V886" s="28">
        <v>0</v>
      </c>
      <c r="W886" s="28">
        <v>0</v>
      </c>
      <c r="X886" s="1">
        <f t="shared" si="300"/>
        <v>1175357.31</v>
      </c>
      <c r="Y886" s="2">
        <v>877077.08</v>
      </c>
      <c r="Z886" s="2">
        <v>298280.23</v>
      </c>
      <c r="AA886" s="2">
        <f t="shared" si="301"/>
        <v>0</v>
      </c>
      <c r="AB886" s="2">
        <v>0</v>
      </c>
      <c r="AC886" s="2">
        <v>0</v>
      </c>
      <c r="AD886" s="16">
        <f t="shared" si="296"/>
        <v>7338581.6999999993</v>
      </c>
      <c r="AE886" s="2">
        <v>0</v>
      </c>
      <c r="AF886" s="2">
        <f t="shared" si="302"/>
        <v>7338581.6999999993</v>
      </c>
      <c r="AG886" s="38" t="s">
        <v>1412</v>
      </c>
      <c r="AH886" s="29"/>
      <c r="AI886" s="30">
        <f>42780.58+115847.56+129660.59+158178.99+427483.43+672351.67</f>
        <v>1546302.8199999998</v>
      </c>
      <c r="AJ886" s="30">
        <v>0</v>
      </c>
    </row>
    <row r="887" spans="1:36" ht="157.5" x14ac:dyDescent="0.25">
      <c r="A887" s="6">
        <v>884</v>
      </c>
      <c r="B887" s="31">
        <v>134092</v>
      </c>
      <c r="C887" s="31">
        <v>864</v>
      </c>
      <c r="D887" s="177" t="s">
        <v>143</v>
      </c>
      <c r="E887" s="82" t="s">
        <v>1622</v>
      </c>
      <c r="F887" s="31" t="s">
        <v>1741</v>
      </c>
      <c r="G887" s="11" t="s">
        <v>1740</v>
      </c>
      <c r="H887" s="11" t="s">
        <v>1742</v>
      </c>
      <c r="I887" s="33" t="s">
        <v>3051</v>
      </c>
      <c r="J887" s="25">
        <v>44267</v>
      </c>
      <c r="K887" s="25">
        <v>45181</v>
      </c>
      <c r="L887" s="26">
        <f t="shared" si="303"/>
        <v>83.983862883683784</v>
      </c>
      <c r="M887" s="11" t="s">
        <v>1343</v>
      </c>
      <c r="N887" s="11" t="s">
        <v>261</v>
      </c>
      <c r="O887" s="11" t="s">
        <v>137</v>
      </c>
      <c r="P887" s="27" t="s">
        <v>138</v>
      </c>
      <c r="Q887" s="11" t="s">
        <v>34</v>
      </c>
      <c r="R887" s="1">
        <f t="shared" si="298"/>
        <v>3719903.0000000009</v>
      </c>
      <c r="S887" s="2">
        <v>2999777.6600000006</v>
      </c>
      <c r="T887" s="2">
        <v>720125.34000000008</v>
      </c>
      <c r="U887" s="1">
        <f t="shared" si="299"/>
        <v>0</v>
      </c>
      <c r="V887" s="28">
        <v>0</v>
      </c>
      <c r="W887" s="28">
        <v>0</v>
      </c>
      <c r="X887" s="1">
        <f t="shared" si="300"/>
        <v>709403.8600000001</v>
      </c>
      <c r="Y887" s="2">
        <v>529372.54</v>
      </c>
      <c r="Z887" s="2">
        <v>180031.32</v>
      </c>
      <c r="AA887" s="2">
        <f t="shared" si="301"/>
        <v>0</v>
      </c>
      <c r="AB887" s="2">
        <v>0</v>
      </c>
      <c r="AC887" s="2">
        <v>0</v>
      </c>
      <c r="AD887" s="16">
        <f t="shared" si="296"/>
        <v>4429306.8600000013</v>
      </c>
      <c r="AE887" s="2">
        <v>0</v>
      </c>
      <c r="AF887" s="2">
        <f t="shared" si="302"/>
        <v>4429306.8600000013</v>
      </c>
      <c r="AG887" s="38" t="s">
        <v>1412</v>
      </c>
      <c r="AH887" s="29" t="s">
        <v>3307</v>
      </c>
      <c r="AI887" s="30">
        <f>117020.46+141164.27+882824.9+42649.53+272981.04</f>
        <v>1456640.2</v>
      </c>
      <c r="AJ887" s="30">
        <v>0</v>
      </c>
    </row>
    <row r="888" spans="1:36" ht="173.25" x14ac:dyDescent="0.25">
      <c r="A888" s="6">
        <v>885</v>
      </c>
      <c r="B888" s="31">
        <v>129984</v>
      </c>
      <c r="C888" s="31">
        <v>727</v>
      </c>
      <c r="D888" s="177" t="s">
        <v>143</v>
      </c>
      <c r="E888" s="82" t="s">
        <v>1056</v>
      </c>
      <c r="F888" s="31" t="s">
        <v>1744</v>
      </c>
      <c r="G888" s="11" t="s">
        <v>1745</v>
      </c>
      <c r="H888" s="8" t="s">
        <v>151</v>
      </c>
      <c r="I888" s="33" t="s">
        <v>3052</v>
      </c>
      <c r="J888" s="25">
        <v>44273</v>
      </c>
      <c r="K888" s="25">
        <v>45003</v>
      </c>
      <c r="L888" s="26">
        <f t="shared" si="303"/>
        <v>83.983862919401076</v>
      </c>
      <c r="M888" s="11" t="s">
        <v>1343</v>
      </c>
      <c r="N888" s="11" t="s">
        <v>261</v>
      </c>
      <c r="O888" s="11" t="s">
        <v>137</v>
      </c>
      <c r="P888" s="27" t="s">
        <v>138</v>
      </c>
      <c r="Q888" s="11" t="s">
        <v>34</v>
      </c>
      <c r="R888" s="1">
        <f t="shared" si="298"/>
        <v>4109527.38</v>
      </c>
      <c r="S888" s="2">
        <v>3313975.8</v>
      </c>
      <c r="T888" s="2">
        <v>795551.58000000007</v>
      </c>
      <c r="U888" s="1">
        <f t="shared" si="299"/>
        <v>0</v>
      </c>
      <c r="V888" s="28">
        <v>0</v>
      </c>
      <c r="W888" s="28">
        <v>0</v>
      </c>
      <c r="X888" s="1">
        <f t="shared" si="300"/>
        <v>783707.15</v>
      </c>
      <c r="Y888" s="2">
        <v>584819.24</v>
      </c>
      <c r="Z888" s="2">
        <v>198887.91</v>
      </c>
      <c r="AA888" s="2">
        <f t="shared" si="301"/>
        <v>0</v>
      </c>
      <c r="AB888" s="2">
        <v>0</v>
      </c>
      <c r="AC888" s="2">
        <v>0</v>
      </c>
      <c r="AD888" s="16">
        <f t="shared" si="296"/>
        <v>4893234.53</v>
      </c>
      <c r="AE888" s="2">
        <v>0</v>
      </c>
      <c r="AF888" s="2">
        <f t="shared" si="302"/>
        <v>4893234.53</v>
      </c>
      <c r="AG888" s="38" t="s">
        <v>1412</v>
      </c>
      <c r="AH888" s="29"/>
      <c r="AI888" s="30">
        <v>31972.73</v>
      </c>
      <c r="AJ888" s="30">
        <v>0</v>
      </c>
    </row>
    <row r="889" spans="1:36" ht="173.25" x14ac:dyDescent="0.25">
      <c r="A889" s="6">
        <v>886</v>
      </c>
      <c r="B889" s="31">
        <v>151956</v>
      </c>
      <c r="C889" s="31">
        <v>1100</v>
      </c>
      <c r="D889" s="177" t="s">
        <v>144</v>
      </c>
      <c r="E889" s="82" t="s">
        <v>1788</v>
      </c>
      <c r="F889" s="31" t="s">
        <v>1789</v>
      </c>
      <c r="G889" s="11" t="s">
        <v>1153</v>
      </c>
      <c r="H889" s="8" t="s">
        <v>151</v>
      </c>
      <c r="I889" s="33" t="s">
        <v>3053</v>
      </c>
      <c r="J889" s="25">
        <v>44425</v>
      </c>
      <c r="K889" s="25">
        <v>45094</v>
      </c>
      <c r="L889" s="26">
        <f t="shared" si="303"/>
        <v>83.858993688811864</v>
      </c>
      <c r="M889" s="11" t="s">
        <v>1343</v>
      </c>
      <c r="N889" s="11" t="s">
        <v>261</v>
      </c>
      <c r="O889" s="11" t="s">
        <v>137</v>
      </c>
      <c r="P889" s="27" t="s">
        <v>138</v>
      </c>
      <c r="Q889" s="11" t="s">
        <v>34</v>
      </c>
      <c r="R889" s="1">
        <f t="shared" si="298"/>
        <v>6320507.5</v>
      </c>
      <c r="S889" s="2">
        <v>4944533.01</v>
      </c>
      <c r="T889" s="2">
        <v>1375974.49</v>
      </c>
      <c r="U889" s="1">
        <f t="shared" si="299"/>
        <v>1065816.9500000002</v>
      </c>
      <c r="V889" s="28">
        <v>756222.70000000007</v>
      </c>
      <c r="W889" s="28">
        <v>309594.25</v>
      </c>
      <c r="X889" s="1">
        <f t="shared" si="300"/>
        <v>150741.31</v>
      </c>
      <c r="Y889" s="2">
        <v>116341.95</v>
      </c>
      <c r="Z889" s="2">
        <v>34399.360000000001</v>
      </c>
      <c r="AA889" s="2">
        <f t="shared" si="301"/>
        <v>0</v>
      </c>
      <c r="AB889" s="2">
        <v>0</v>
      </c>
      <c r="AC889" s="2">
        <v>0</v>
      </c>
      <c r="AD889" s="16">
        <f t="shared" si="296"/>
        <v>7537065.7599999998</v>
      </c>
      <c r="AE889" s="2">
        <v>0</v>
      </c>
      <c r="AF889" s="2">
        <f t="shared" si="302"/>
        <v>7537065.7599999998</v>
      </c>
      <c r="AG889" s="38" t="s">
        <v>1412</v>
      </c>
      <c r="AH889" s="29" t="s">
        <v>1806</v>
      </c>
      <c r="AI889" s="30">
        <f>6619.83+16332.38+92247.96</f>
        <v>115200.17000000001</v>
      </c>
      <c r="AJ889" s="30">
        <f>1116.29+2754.1+15555.63</f>
        <v>19426.02</v>
      </c>
    </row>
    <row r="890" spans="1:36" ht="173.25" x14ac:dyDescent="0.25">
      <c r="A890" s="6">
        <v>887</v>
      </c>
      <c r="B890" s="31">
        <v>152441</v>
      </c>
      <c r="C890" s="31">
        <v>1156</v>
      </c>
      <c r="D890" s="177" t="s">
        <v>1640</v>
      </c>
      <c r="E890" s="82" t="s">
        <v>1955</v>
      </c>
      <c r="F890" s="31" t="s">
        <v>1954</v>
      </c>
      <c r="G890" s="11" t="s">
        <v>424</v>
      </c>
      <c r="H890" s="8" t="s">
        <v>151</v>
      </c>
      <c r="I890" s="33" t="s">
        <v>3054</v>
      </c>
      <c r="J890" s="25">
        <v>44553</v>
      </c>
      <c r="K890" s="25">
        <v>45283</v>
      </c>
      <c r="L890" s="26">
        <f t="shared" si="303"/>
        <v>83.983863246453154</v>
      </c>
      <c r="M890" s="11" t="s">
        <v>1343</v>
      </c>
      <c r="N890" s="11" t="s">
        <v>261</v>
      </c>
      <c r="O890" s="11" t="s">
        <v>137</v>
      </c>
      <c r="P890" s="27" t="s">
        <v>138</v>
      </c>
      <c r="Q890" s="11" t="s">
        <v>34</v>
      </c>
      <c r="R890" s="1">
        <f t="shared" si="298"/>
        <v>4554571.1400000006</v>
      </c>
      <c r="S890" s="2">
        <v>3672864.8200000003</v>
      </c>
      <c r="T890" s="2">
        <v>881706.32</v>
      </c>
      <c r="U890" s="1">
        <f t="shared" si="299"/>
        <v>0</v>
      </c>
      <c r="V890" s="28">
        <v>0</v>
      </c>
      <c r="W890" s="28">
        <v>0</v>
      </c>
      <c r="X890" s="1">
        <f t="shared" si="300"/>
        <v>868579.17</v>
      </c>
      <c r="Y890" s="2">
        <v>648152.57860638108</v>
      </c>
      <c r="Z890" s="2">
        <v>220426.59139361896</v>
      </c>
      <c r="AA890" s="2">
        <f t="shared" si="301"/>
        <v>0</v>
      </c>
      <c r="AB890" s="2">
        <v>0</v>
      </c>
      <c r="AC890" s="2">
        <v>0</v>
      </c>
      <c r="AD890" s="16">
        <f t="shared" si="296"/>
        <v>5423150.3100000005</v>
      </c>
      <c r="AE890" s="2">
        <v>0</v>
      </c>
      <c r="AF890" s="2">
        <f t="shared" si="302"/>
        <v>5423150.3100000005</v>
      </c>
      <c r="AG890" s="38" t="s">
        <v>1412</v>
      </c>
      <c r="AH890" s="29"/>
      <c r="AI890" s="30">
        <f>153334.04+972856.26</f>
        <v>1126190.3</v>
      </c>
      <c r="AJ890" s="30">
        <v>0</v>
      </c>
    </row>
    <row r="891" spans="1:36" ht="157.5" x14ac:dyDescent="0.25">
      <c r="A891" s="6">
        <v>888</v>
      </c>
      <c r="B891" s="31">
        <v>152674</v>
      </c>
      <c r="C891" s="31">
        <v>1158</v>
      </c>
      <c r="D891" s="177" t="s">
        <v>1639</v>
      </c>
      <c r="E891" s="82" t="s">
        <v>1995</v>
      </c>
      <c r="F891" s="31" t="s">
        <v>1993</v>
      </c>
      <c r="G891" s="11" t="s">
        <v>1992</v>
      </c>
      <c r="H891" s="32" t="s">
        <v>1994</v>
      </c>
      <c r="I891" s="33" t="s">
        <v>3055</v>
      </c>
      <c r="J891" s="25">
        <v>44614</v>
      </c>
      <c r="K891" s="25">
        <v>45252</v>
      </c>
      <c r="L891" s="26">
        <f t="shared" si="303"/>
        <v>83.444128513736729</v>
      </c>
      <c r="M891" s="11" t="s">
        <v>1343</v>
      </c>
      <c r="N891" s="11" t="s">
        <v>261</v>
      </c>
      <c r="O891" s="11" t="s">
        <v>137</v>
      </c>
      <c r="P891" s="27" t="s">
        <v>138</v>
      </c>
      <c r="Q891" s="11" t="s">
        <v>34</v>
      </c>
      <c r="R891" s="1">
        <f t="shared" si="298"/>
        <v>6265616.1900000004</v>
      </c>
      <c r="S891" s="2">
        <v>5052673.6100000003</v>
      </c>
      <c r="T891" s="2">
        <v>1212942.58</v>
      </c>
      <c r="U891" s="1">
        <f t="shared" si="299"/>
        <v>378709.87999999995</v>
      </c>
      <c r="V891" s="28">
        <v>282601.51999999996</v>
      </c>
      <c r="W891" s="28">
        <v>96108.36</v>
      </c>
      <c r="X891" s="1">
        <f t="shared" si="300"/>
        <v>816174</v>
      </c>
      <c r="Y891" s="2">
        <v>609046.68000000005</v>
      </c>
      <c r="Z891" s="2">
        <v>207127.32</v>
      </c>
      <c r="AA891" s="2">
        <f t="shared" si="301"/>
        <v>48256.149999999994</v>
      </c>
      <c r="AB891" s="2">
        <v>38449.17</v>
      </c>
      <c r="AC891" s="2">
        <v>9806.98</v>
      </c>
      <c r="AD891" s="16">
        <f t="shared" si="296"/>
        <v>7508756.2200000007</v>
      </c>
      <c r="AE891" s="2">
        <v>0</v>
      </c>
      <c r="AF891" s="2">
        <f t="shared" si="302"/>
        <v>7508756.2200000007</v>
      </c>
      <c r="AG891" s="38" t="s">
        <v>1412</v>
      </c>
      <c r="AH891" s="29" t="s">
        <v>3316</v>
      </c>
      <c r="AI891" s="30">
        <f>241280.8+175627.99+304508.95+197607.82</f>
        <v>919025.56</v>
      </c>
      <c r="AJ891" s="30">
        <f>33493.12+4967.73+37684.79</f>
        <v>76145.640000000014</v>
      </c>
    </row>
    <row r="892" spans="1:36" ht="141.75" x14ac:dyDescent="0.25">
      <c r="A892" s="6">
        <v>889</v>
      </c>
      <c r="B892" s="31">
        <v>152912</v>
      </c>
      <c r="C892" s="31">
        <v>1157</v>
      </c>
      <c r="D892" s="177" t="s">
        <v>1640</v>
      </c>
      <c r="E892" s="82" t="s">
        <v>1955</v>
      </c>
      <c r="F892" s="31" t="s">
        <v>2002</v>
      </c>
      <c r="G892" s="11" t="s">
        <v>122</v>
      </c>
      <c r="H892" s="8" t="s">
        <v>151</v>
      </c>
      <c r="I892" s="33" t="s">
        <v>3056</v>
      </c>
      <c r="J892" s="25">
        <v>44621</v>
      </c>
      <c r="K892" s="25">
        <v>45261</v>
      </c>
      <c r="L892" s="26">
        <f t="shared" si="303"/>
        <v>83.983862463265709</v>
      </c>
      <c r="M892" s="11" t="s">
        <v>1343</v>
      </c>
      <c r="N892" s="11" t="s">
        <v>261</v>
      </c>
      <c r="O892" s="11" t="s">
        <v>137</v>
      </c>
      <c r="P892" s="27" t="s">
        <v>138</v>
      </c>
      <c r="Q892" s="11" t="s">
        <v>34</v>
      </c>
      <c r="R892" s="1">
        <f t="shared" si="298"/>
        <v>3188751.36</v>
      </c>
      <c r="S892" s="2">
        <v>2571450.15</v>
      </c>
      <c r="T892" s="2">
        <v>617301.21</v>
      </c>
      <c r="U892" s="1">
        <f t="shared" si="299"/>
        <v>0</v>
      </c>
      <c r="V892" s="28">
        <v>0</v>
      </c>
      <c r="W892" s="28">
        <v>0</v>
      </c>
      <c r="X892" s="1">
        <f t="shared" si="300"/>
        <v>608110.64</v>
      </c>
      <c r="Y892" s="2">
        <v>453785.34</v>
      </c>
      <c r="Z892" s="2">
        <v>154325.29999999999</v>
      </c>
      <c r="AA892" s="2">
        <f t="shared" si="301"/>
        <v>0</v>
      </c>
      <c r="AB892" s="2">
        <v>0</v>
      </c>
      <c r="AC892" s="2">
        <v>0</v>
      </c>
      <c r="AD892" s="16">
        <f t="shared" si="296"/>
        <v>3796862</v>
      </c>
      <c r="AE892" s="2">
        <v>0</v>
      </c>
      <c r="AF892" s="2">
        <f t="shared" si="302"/>
        <v>3796862</v>
      </c>
      <c r="AG892" s="38" t="s">
        <v>1412</v>
      </c>
      <c r="AH892" s="29"/>
      <c r="AI892" s="30">
        <v>12045.8</v>
      </c>
      <c r="AJ892" s="30">
        <v>0</v>
      </c>
    </row>
    <row r="893" spans="1:36" ht="157.5" x14ac:dyDescent="0.25">
      <c r="A893" s="6">
        <v>890</v>
      </c>
      <c r="B893" s="31">
        <v>155637</v>
      </c>
      <c r="C893" s="31">
        <v>1262</v>
      </c>
      <c r="D893" s="177" t="s">
        <v>1640</v>
      </c>
      <c r="E893" s="82" t="s">
        <v>2249</v>
      </c>
      <c r="F893" s="31" t="s">
        <v>2248</v>
      </c>
      <c r="G893" s="11" t="s">
        <v>742</v>
      </c>
      <c r="H893" s="8" t="s">
        <v>151</v>
      </c>
      <c r="I893" s="33" t="s">
        <v>3057</v>
      </c>
      <c r="J893" s="25">
        <v>44719</v>
      </c>
      <c r="K893" s="25">
        <v>45267</v>
      </c>
      <c r="L893" s="26">
        <f t="shared" si="303"/>
        <v>82.304185424500574</v>
      </c>
      <c r="M893" s="11" t="s">
        <v>1343</v>
      </c>
      <c r="N893" s="11" t="s">
        <v>261</v>
      </c>
      <c r="O893" s="11" t="s">
        <v>137</v>
      </c>
      <c r="P893" s="27" t="s">
        <v>138</v>
      </c>
      <c r="Q893" s="11" t="s">
        <v>34</v>
      </c>
      <c r="R893" s="1">
        <f t="shared" si="298"/>
        <v>4114631.4299999997</v>
      </c>
      <c r="S893" s="2">
        <v>3318091.76</v>
      </c>
      <c r="T893" s="2">
        <v>796539.67</v>
      </c>
      <c r="U893" s="1">
        <f t="shared" si="299"/>
        <v>784680.5299999998</v>
      </c>
      <c r="V893" s="28">
        <v>585545.59999999986</v>
      </c>
      <c r="W893" s="28">
        <v>199134.93</v>
      </c>
      <c r="X893" s="1">
        <f t="shared" si="300"/>
        <v>99985.96</v>
      </c>
      <c r="Y893" s="2">
        <v>79666.080000000002</v>
      </c>
      <c r="Z893" s="2">
        <v>20319.88</v>
      </c>
      <c r="AA893" s="2">
        <f t="shared" si="301"/>
        <v>0</v>
      </c>
      <c r="AB893" s="2">
        <v>0</v>
      </c>
      <c r="AC893" s="2">
        <v>0</v>
      </c>
      <c r="AD893" s="16">
        <f t="shared" si="296"/>
        <v>4999297.919999999</v>
      </c>
      <c r="AE893" s="2">
        <v>0</v>
      </c>
      <c r="AF893" s="2">
        <f t="shared" si="302"/>
        <v>4999297.919999999</v>
      </c>
      <c r="AG893" s="38" t="s">
        <v>1412</v>
      </c>
      <c r="AH893" s="29" t="s">
        <v>3305</v>
      </c>
      <c r="AI893" s="30">
        <v>155000</v>
      </c>
      <c r="AJ893" s="30">
        <v>0</v>
      </c>
    </row>
    <row r="894" spans="1:36" x14ac:dyDescent="0.25">
      <c r="R894" s="189">
        <f>SUM(R4:R893)</f>
        <v>3543672958.4528923</v>
      </c>
      <c r="S894" s="189">
        <f t="shared" ref="S894:AJ894" si="304">SUM(S4:S893)</f>
        <v>2967594059.7399979</v>
      </c>
      <c r="T894" s="189">
        <f t="shared" si="304"/>
        <v>576078898.71289253</v>
      </c>
      <c r="U894" s="189">
        <f t="shared" si="304"/>
        <v>191877182.76999974</v>
      </c>
      <c r="V894" s="189">
        <f t="shared" si="304"/>
        <v>160436756.38</v>
      </c>
      <c r="W894" s="189">
        <f t="shared" si="304"/>
        <v>31440426.390000012</v>
      </c>
      <c r="X894" s="189">
        <f t="shared" si="304"/>
        <v>475912571.45999968</v>
      </c>
      <c r="Y894" s="189">
        <f t="shared" si="304"/>
        <v>363376599.31647837</v>
      </c>
      <c r="Z894" s="189">
        <f t="shared" si="304"/>
        <v>112535972.14352158</v>
      </c>
      <c r="AA894" s="189">
        <f t="shared" si="304"/>
        <v>5161574.4000000004</v>
      </c>
      <c r="AB894" s="189">
        <f t="shared" si="304"/>
        <v>4262776.7899999991</v>
      </c>
      <c r="AC894" s="189">
        <f t="shared" si="304"/>
        <v>898797.6100000001</v>
      </c>
      <c r="AD894" s="189">
        <f t="shared" si="304"/>
        <v>4216624287.0828934</v>
      </c>
      <c r="AE894" s="189">
        <f t="shared" si="304"/>
        <v>72478107.069999993</v>
      </c>
      <c r="AF894" s="189">
        <f t="shared" si="304"/>
        <v>4289102394.152894</v>
      </c>
      <c r="AG894" s="189"/>
      <c r="AH894" s="189"/>
      <c r="AI894" s="189">
        <f t="shared" si="304"/>
        <v>1572243964.0999999</v>
      </c>
      <c r="AJ894" s="189">
        <f t="shared" si="304"/>
        <v>90105337.607299954</v>
      </c>
    </row>
    <row r="897" spans="25:30" x14ac:dyDescent="0.25">
      <c r="Y897" s="3" t="s">
        <v>3320</v>
      </c>
      <c r="Z897" s="4">
        <v>4.9188999999999998</v>
      </c>
      <c r="AD897" s="3">
        <f>AD894/Z897</f>
        <v>857229113.63981652</v>
      </c>
    </row>
  </sheetData>
  <protectedRanges>
    <protectedRange sqref="H1:H2 AH674:AJ674 AE672:AE674 S672:T674 V672:W674 Y673:Z674 AB672:AC674 Y7:Z11 V7:W11 S7:T11 AE7:AE11 B29:C29 S21:T22 V21:W22 Y21:Z22 AB21:AC22 AE21:AE22 C747:C759 W29 Z29 AB29:AC29 F751:K752 B235:C241 AE29 AE747:AE766 AH29 S330:T330 S281 V281 Y281 E783:E794 AE200:AE207 AH202:AH207 AB219:AC223 I210:K211 S313:T316 AE235 W210:W212 S318:T328 B71:C75 AH130:AH138 O237 M281 Y181:Z187 T210:T212 B259:C262 B139:B141 F210:F211 V219:W223 T219:T223 S209:T209 V209:W209 Y209:Z209 S235:T235 V235:W235 Y235:Z235 C275 AB181:AC187 B347:C353 C280 O181:O183 AH281:AH286 AB288:AC292 AE288:AE292 S288:T292 V318:W328 V337:Z338 P341 B417:C425 AE79:AE91 F79:F91 F673:K673 B34:C37 T676 AK672:XFD674 E674:K674 E676:K676 V676:W688 S677:T688 AE676:AE688 F677:K678 Y676:Z685 V35:W37 AB47:AC53 Y35:Z37 AB35:AC37 D681:G681 F689:G689 S689:AC689 AB691:AC693 Y318:Z328 AB314:AC316 W131 E700 Y697:Z699 V690:W699 S690:T699 AE690:AE699 C383 AB695:AC699 E697:G699 AH691:AJ692 B21:C22 B6:C11 D701:K703 C374 AH703:AJ703 C346 B216:B218 D710:K710 Q713 Q701:Q710 R120:T120 W120 AE281:AE286 AB281:AC286 E235:G235 R29:T29 Q681:Q699 F313 E29:G29 E457:G457 AH715:AJ715 AB130:AC135 W346:Z346 K346:K353 AK346:XFD353 C305 I47:K53 M29:P29 AE276:AE279 AH275:AH279 F121:K121 AE219:AE223 AH235 E238:K238 E181:G182 M21:M22 AE35:AE37 E12:E13 AE181:AE187 M235:P235 M294:M295 M318:Q318 P294:Q295 F6:K6 E21:G22 P21:P22 AH21:AH22 AK21:XFD22 Q457 V765:W766 AE305 AB765:AC766 E34:G37 G750 F384:G384 F747:G749 Q747:Q766 F209:K209 R130:T131 AB93:AC95 AE605 E748:E755 D706 E383:G383 E294:F295 E680:K680 D690:G690 S305:T305 Y305:Z305 E759:E766 F761:G763 R331:T331 Y219:Z223 AH72:AH75 AH164:AH166 AK181:XFD187 AK200:XFD207 AH259:AH269 AK288:XFD292 AK313:XFD316 AK294:XFD311 M120:P120 S35:T37 F131:K131 E93:G93 I1:XFD3 C329 E768:E770 AE304:AF304 Y747:Z766 AB747:AC747 S747:T766 V747:W763 H748:K750 E439:G440 B120:C123 AB79:AC91 AB209:AC214 AB200:AC202 P202 Z210:Z212 S200:T207 M209:M211 S259:T262 AB259:AC262 AE259:AE262 AH314 AE314:AE316 E236:F237 S236 V236 Y236 M236:N237 C337:C338 E314:G314 I313:K316 Q313 AE337:AE338 AB337:AC338 AB7:AC11 V121:W123 AB123:AC123 AB430:AC430 AH678 AK677:XFD678 AH680 AK680:XFD680 AH682:AH686 AK682:XFD686 AH689:AH690 AH696:AJ696 AH693:AH695 AH697:AH699 AH701:AH702 AH705:AJ705 AH704 AH707:AJ708 AH706 AH709:AH714 AH723:AJ723 AH716:AH722 AH724:AH728 AH732:AH733 AH753:AH754 AI751:AJ754 AK71:XFD75 AH7:AH11 AB71:AC75 E71:F73 I71:K75 B130:C135 V329:Z329 Y71:Z75 AE71:AE75 E99 AB440:AC449 E448:G448 M194:P194 AE452:AE453 B452:C453 AB347:AC363 F452:G453 R452:T453 V452:Z453 AB452:AC453 I452:K453 AH747:XFD750 B164:C166 Y313:Z316 AB178:AC179 S181:T187 I181:K187 AB294:AC297 S294:T303 AE294:AE303 E80:E83 AK62:XFD69 E385:G385 V189:W195 AE189:AE198 AB189:AC191 Y189:Z196 S189:T196 B62:C64 E190:K190 F196:K196 F133:G135 F259:K259 E430:E433 S238:T241 Y238:Z241 AB238:AC239 V238:W241 E65 E62:K63 AE62:AE64 AH62:AH64 AB270:AC279 S270:S274 E270 S62:T69 AB62:AC69 AH453:XFD453 W196 AE365:AE425 AB365:AC374 B318:C328 Y14:Z14 S14:T14 AB14:AC14 AH14:AH19 E14:F14 M238:O241 F95:G95 Y605:Z605 S605:T605 E151:E152 O259:O262 M259:M262 AH605 B276:C279 AH178:AH179 AB164:AC166 C332 Q332 S332:T332 V330:W332 AE318:AE332 Y330:Z332 AB318:AC332 AB701:AC706 Y457:Z457 AE457 V457:W457 S457:T457 Q725:Q743 E731:K731 AK14:XFD19 B79:C91 AK189:XFD198 B375:C382 B39:C45 AK333:XFD336 B605 E354:G355 AB677:AC680 AK796:XFD809 AB39:AC45 I39:K45 E39:G39 E204:K204 M331:M332 M34:P37 AK219:XFD223 M130:N130 M374:Q374 M121:T123 M337:T337 M329:T329 AB226:AC233 AH225:AH233 E226:E227 M192:Q193 G24:G26 AE14 V71:W75 V200:W207 V288:W292 V14:W14 V62:W69 V79:W91 V605:W605 V130:W130 V132:W135 V259:W262 V181:W187 V313:W316 Y122:AC122 Y123:Z123 Y130:Z135 Y259:Z262 Y270:Z279 Y304:AC304 D895:F1048576 AK29:XFD29 B200:C207 B181:C187 B219:C223 AK235:XFD242 B93:C97 AH318:AH322 AK318:XFD322 AK7:XFD11 I105:K120 S592:AB592 AK79:XFD91 AK605:XFD605 C676:C699 Q585:Q603 AH457:XFD603 AH323:XFD332 AH679:XFD679 C672:C674 AI420:XFD425 E811:E822 AB241:AC241 AB376:AC383 AB682:AC687 AB457:AC457 AB730:AC730 AB732:AC745 AB750:AC759 AB761:AC763 AB97:AC98 AB100:AC121 AB193:AC198 AB204:AC204 E55:E56 V294:W311 AK93:XFD123 E315:F316 E796:E809 AH734:AJ745 AH755:AJ767 I524:K603 E825:E893 E9:G9 I605:K605 G263:G269 F40:G40 O39:P40 B313:C316 F41:F45 AE209:AE214 E416:G419 F420:G425 E288:K289 F290:G292 I290:K292 M288:Q289 AH288:AH289 E296:G296 M296:Q297 Y306:AC311 AI365:XFD365 F379:K379 E219:G221 F222:K223 G136:G138 R136:R138 AE131:AE138 F183:F187 M181:M183 M354:T355 V270:W279 M195:Q196 F356:G363 R356:T358 AE346:AE363 T359:T363 AE439:AE449 AH306:AH311 E47:G51 AK130:XFD138 F74:F75 B365:C373 F368:K368 M335:M336 AH335:AH336 M346:P353 R346:T353 H98:K98 H101:K101 V93:W98 V100:W119 AH93:AH98 AH100:AH123 S93:T98 S100:T119 Y93:Z98 B98 AE93:AE98 E772:E780 AK751:XFD794 AB708:AC728 S701:T745 V701:W745 AE701:AE745 Y702:Z745 AK689:XFD745 Q716:Q721 E713:K713 C703:C745 F449:K449 E132:G132 AK164:XFD179 E178:G178 E275:G277 E281:G281 E282:I282 E304:G304 E306:G306 E330:F330 E365:G367 E707:K708 E682:K683 D693:K693 E691:G692 O78:O79 E331:G332 E164:G166 E346:I347 F351:G353 G38 E11:G11 E10:F10 I14:K14 E94:F94 F96 F97:G97 G216 G218 F305:K305 E739:K739 E738:F738 H738:K738 G65 G317 E319:K319 E298:G298 E297:F297 O873 G612 G632 G648 G651:G653 G663 G787 G818 G826 G829 G833 G869 E729:F730 H729:K730 O81 P93:Q93 M96:Q98 M93:M95 P95:Q95 N450 M453:O453 N454:O454 N604:O604 M605:Q605 N606:O638 N640:O640 N642:O643 N645:O648 N651:O653 N675:O676 M678:O679 M701:O718 N745:O746 M747:O749 F766:K766 F764 H764:K764 E374:G377 M375:N380 B100:B119 M219:M223 O219:P223 H66 E337:G338 M340:M342 F441:G447 O247:O248 B209:C212 S71:T75 F172:G177 F283:I283 H83:K84 AH294:AH304 F299:G303 Y294:Z303 F169:K171 F307:G311 M305:N309 M290:P292 B288:C292 Y288:Z292 F7:G8 I7:K11 I21:K22 I29:K29 I34:K37 E64:G64 I64:K64 I79:K82 I85:K91 I93:K97 I100:K100 H103:K104 I102:K102 F120:G120 I122:K123 F130:G130 I130:K130 I132:K135 F167:G168 I164:K168 O172:O176 I172:K179 E189:G189 I189:K189 E192:K192 E191:G191 I191:K191 E194:K194 E193:G193 I193:K193 F195:G195 I195:K195 E200:G203 I200:K203 I219:K221 I235:K237 E239:G241 I239:K241 E260:G262 I260:K262 I275:K281 F284:G286 I284:I286 I294:K304 I306:K311 E318:G318 I318:K318 E320:G323 I320:K327 I329:K332 I337:K338 E349:I349 E348:G348 I348 E350:G350 I350:I353 I354:K363 I365:K367 F378:G378 F380:G382 I416:K425 I439:K448 F672:G672 I672:K672 E679:G679 I679:K679 I681:K681 E685:K685 E684:G684 I684:K684 E687:K687 E686:G686 I686:K686 E688:G688 I688:K692 D695:K696 D694:G694 I694:K694 I697:K699 E704:G706 I704:K706 D709:G709 I709:K709 D712:K712 D711:G711 I711:K711 E715:K716 E714:G714 I714:K714 E719:K721 E717:G718 I717:K718 E727:K728 E722:G726 I722:K726 E734:K734 E732:G733 I732:K733 E737:K737 E735:G736 I735:K736 E741:K742 E740:G740 I740:K740 E744:K744 E743:G743 I743:K743 E745:G745 I745:K745 I747:K747 F754:K755 F753:G753 I753:K753 F757:K759 F756:G756 I756:K756 I761:K763 F765:G765 I765:K765 M62:P62 F324:G329 F369:G373 E122:G123 G126:G127 M63:Q63 M64:P64 M751:O753 M750 O750 O94:Q94 M452 O452 M754:M755 P165:Q166 P164 O168 M728:O733 M727 O727 O170 M680 O680 M694:O699 M693 M735:O738 M734 M131:M135 N131:N137 O130:P131 O132:T135 O136 M720:O726 M719 O719 O744 M298:M303 O298:Q298 M740:O743 M739 O299:P303 O305 O306:T306 M681:O692 M304:T304 O307:P309 O332 O331:P331 N330:N336 O340:P340 M338 O338:T338 O342:Q342 N338:N342 M756:O766 O375:P375 O376:Q377 N673:O673 O378:P380 N700 O417:Q419 O420:O425 AE100:AE123 F52:G53 F205:K205 N65:N69 AH687:XFD688 Y62:Z69 X593:AC603 S595:V603 D585:G603 P207 AK209:XFD214 M100:Q119 AH366:XFD419 I457:K515 D458:G488 M457:O603 B294:C304 C354:C363 A894:C1048576 AI676:XFD676 B384:C398 B330:C331 F278:G280 G98:G119 Y100:Z121 AB385:AC418 C399:C416 AE164:AE179 Y164:Z179 V164:W179 S164:T179 C167:C177 F386:G415 B14:C14 S365:T425 V365:W425 Y365:Z425 M253:O253 I369:K378 F179:G179 M178:Q179 B178:C179 P24:P26 F206:G207 I206:K207 Y200:Z207 AC205:AC207 O203:P206 M200:M207 M47:P53 B47:C53 I380:K414 M197:P198 B189:C198 AH192:AH198 AK811:XFD893 B439:C449 A1:G3 O365:P373 M365:M373 V439:Z449 M439:T449 M310:P311 B306:C311 AE306:AF311 R307:T311 O84:O90 N30:N33 P30:P33 AK34:XFD53 M417:N425 AH439:XFD449 M164:M177 AK225:XFD233 M39:M44 P41:P44 O284:O286 B281:C286 P343:P345 M343:N345 AH354:XFD363 N138:O138 C457 M381:Q416 M356:O363 V347:Z363 R359:R363 C761:C766 S79:T91 Y79:Z91 M275:P279 S275:T279 AK259:XFD286 AH337:XFD338 S593:U594 AH681:XFD681 AH729:AJ731 Q458:AC584 AI452:XFD452 B544:C603 F489:G515 I328:J328 I415:J415 H516:K516 H520:K520 I517:K519 H523:K523 I521:K522 C543 B458:C542 S585:AC591 G894:XFD896 AE689:AF689 AE130:AF130 AE458:AF603 G898:XFD1048576 G897:X897 AA897:XFD897" name="maria" securityDescriptor="O:WDG:WDD:(A;;CC;;;S-1-5-21-3048853270-2157241324-869001692-3245)(A;;CC;;;S-1-5-21-3048853270-2157241324-869001692-1007)"/>
    <protectedRange sqref="R4:AH4 AA5:AA11 R12:T13 AA14 AB5:AC5 AH70 AH315:AH316 AE12:AE13 AH12:AH13 V12:W13 Y12:AC13 AG5:AG226 AG228:AG893 AD5:AD893" name="maria_1_1_1" securityDescriptor="O:WDG:WDD:(A;;CC;;;S-1-5-21-3048853270-2157241324-869001692-3245)(A;;CC;;;S-1-5-21-3048853270-2157241324-869001692-1007)"/>
    <protectedRange sqref="P5:Q6 Q305 Q78 Q164 Q217:Q218 Q375 Q666 Q722:Q724 Q745 P7:P11 P14 Q347:Q353 P19" name="maria_1_3" securityDescriptor="O:WDG:WDD:(A;;CC;;;S-1-5-21-3048853270-2157241324-869001692-3245)(A;;CC;;;S-1-5-21-3048853270-2157241324-869001692-1007)"/>
    <protectedRange sqref="R5:R11 R14 AF5:AF14 U5:U14 X5:X14 U605 X605 X420:X425 U420:U425 AF20:AF53 U20:U98 U270:U328 X270:X328 X20:X98 X100:X126 U100:U126 U130:U262 X130:X262"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78 Q335:Q336 Q222:Q223 Q299:Q303 Q24:Q26 Q47:Q53 Q307:Q311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48:D449 M28:O28 AB28:AC28 Y28:Z28 V28:W28 B27 AE28 AE124:AE126 S124:T126 V124:W126 Y124:Z126 AB125:AC126 AH124:AH129 AK124:XFD129 E124:G125 M124:O126 E126:F126 D605 O129 D196 D7:E8 D22 B28:G28 D35 D63 D79 D94:D95 D120:D121 D130:D131 D164 D181 D190 D192 D200 D209:D210 D218 D235:D236 D259:D260 D288 D295 D313 D319 D329 D346 D354 D376 D384:E384 D417 D429 D439 D621 D636 D645:D648 D738 D771 I124:K126 D451 D455:D457 D688 D691:D692 D704:D705 D707:D708 D715 D730:D731 D735 D743 D760:D761 D782 G27 I28:K28 B124:C126" name="maria_5" securityDescriptor="O:WDG:WDD:(A;;CC;;;S-1-5-21-3048853270-2157241324-869001692-3245)(A;;CC;;;S-1-5-21-3048853270-2157241324-869001692-1007)"/>
    <protectedRange sqref="P28:Q28 P124:Q126" name="maria_1_5" securityDescriptor="O:WDG:WDD:(A;;CC;;;S-1-5-21-3048853270-2157241324-869001692-3245)(A;;CC;;;S-1-5-21-3048853270-2157241324-869001692-1007)"/>
    <protectedRange sqref="AA39:AA45 F27 AA28:AA29 R28:S28 V29 Y29 AH27 I27:K27 AA35:AA37 R35:R37 S47:S53 V47:V53 Y47:Y53 S39:S45 V39:V45 Y39:Y45 M27:T27 R124:R126 AA124:AA126 AF124:AF126 AE27 V27:W27 Y27:AA27 AK27:XFD27 AA47:AA53 C27" name="maria_1_1_4" securityDescriptor="O:WDG:WDD:(A;;CC;;;S-1-5-21-3048853270-2157241324-869001692-3245)(A;;CC;;;S-1-5-21-3048853270-2157241324-869001692-1007)"/>
    <protectedRange sqref="AK54:XFD61 B46:C46 H75 N57:N61 E46:G46 E54:G54 M46:O46 F55:G56 G57:G61 H424 I46:K46 I54:K56 M54:N56 B54:C56" name="maria_6" securityDescriptor="O:WDG:WDD:(A;;CC;;;S-1-5-21-3048853270-2157241324-869001692-3245)(A;;CC;;;S-1-5-21-3048853270-2157241324-869001692-1007)"/>
    <protectedRange sqref="P46:Q46 Q62 Q64 P54:Q56" name="maria_1_6" securityDescriptor="O:WDG:WDD:(A;;CC;;;S-1-5-21-3048853270-2157241324-869001692-3245)(A;;CC;;;S-1-5-21-3048853270-2157241324-869001692-1007)"/>
    <protectedRange sqref="Z47:Z53 R34:T34 R46:T46 AH28 AH34:AH37 W47:W53 T47:T53 Z39:Z45 W39:W45 T39:T45 AE34 AE39:AE53 V34:W34 V46:W46 V54:W56 Y34:AC34 Y46:AA46 Y54:AA55 R54:T56 Y56:AC56 AH46:AH61 AF63:AF69 R63:R69 AA63:AA69 R47:R53 R39:R45 AA57:AC61 R57:R61 AE54:AF61" name="maria_1_1_5" securityDescriptor="O:WDG:WDD:(A;;CC;;;S-1-5-21-3048853270-2157241324-869001692-3245)(A;;CC;;;S-1-5-21-3048853270-2157241324-869001692-1007)"/>
    <protectedRange sqref="AK76:XFD76 M91:O91 E76:G76 M76:O76 O77 O80 O82:O83 I76:K76 N750 N77:N90 B76:C76" name="maria_8" securityDescriptor="O:WDG:WDD:(A;;CC;;;S-1-5-21-3048853270-2157241324-869001692-3245)(A;;CC;;;S-1-5-21-3048853270-2157241324-869001692-1007)"/>
    <protectedRange sqref="P76:Q76 P91:Q91" name="maria_1_8" securityDescriptor="O:WDG:WDD:(A;;CC;;;S-1-5-21-3048853270-2157241324-869001692-3245)(A;;CC;;;S-1-5-21-3048853270-2157241324-869001692-1007)"/>
    <protectedRange sqref="R76:T76 V76:W76 AB76:AC76 AH76 AF305 AF747:AF766 AF452:AF453 AF234:AF241 AF257:AF262 AF457 Y76:Z76 AF796:AF809 AF331:AF338 AF604:AF688 AF768:AF781 AF690:AF745 AF784:AF794 AF312:AF329 AF346:AF449 AF270:AF303 AF811:AF893 AF131:AF224 AF77:AF123 AE76:AF76" name="maria_1_1_7" securityDescriptor="O:WDG:WDD:(A;;CC;;;S-1-5-21-3048853270-2157241324-869001692-3245)(A;;CC;;;S-1-5-21-3048853270-2157241324-869001692-1007)"/>
    <protectedRange sqref="AE77:AE78 S77:T78 V77:W78 Y77:Z78 AB77:AC78 M77:M90 E77:G78 AH77:AH91 AK77:XFD78 G79:G91 I77:K78 B77:C78" name="maria_9" securityDescriptor="O:WDG:WDD:(A;;CC;;;S-1-5-21-3048853270-2157241324-869001692-3245)(A;;CC;;;S-1-5-21-3048853270-2157241324-869001692-1007)"/>
    <protectedRange sqref="P77:Q77 P78:P90" name="maria_1_9" securityDescriptor="O:WDG:WDD:(A;;CC;;;S-1-5-21-3048853270-2157241324-869001692-3245)(A;;CC;;;S-1-5-21-3048853270-2157241324-869001692-1007)"/>
    <protectedRange sqref="R77:R91" name="maria_1_1_8" securityDescriptor="O:WDG:WDD:(A;;CC;;;S-1-5-21-3048853270-2157241324-869001692-3245)(A;;CC;;;S-1-5-21-3048853270-2157241324-869001692-1007)"/>
    <protectedRange sqref="AH92 AE92 S92:T92 V92:W92 Y92:Z92 N754:O755 AB92:AC92 E92:G92 AK92:XFD92 G94 G96 M92:O92 O95 I92:K92 N93:O93 N94:N95 N452 N773:O773 B92:C92" name="maria_10" securityDescriptor="O:WDG:WDD:(A;;CC;;;S-1-5-21-3048853270-2157241324-869001692-3245)(A;;CC;;;S-1-5-21-3048853270-2157241324-869001692-1007)"/>
    <protectedRange sqref="P92:Q92 Q79:Q83" name="maria_1_10" securityDescriptor="O:WDG:WDD:(A;;CC;;;S-1-5-21-3048853270-2157241324-869001692-3245)(A;;CC;;;S-1-5-21-3048853270-2157241324-869001692-1007)"/>
    <protectedRange sqref="R92:R98 R100:R119" name="maria_1_1_9" securityDescriptor="O:WDG:WDD:(A;;CC;;;S-1-5-21-3048853270-2157241324-869001692-3245)(A;;CC;;;S-1-5-21-3048853270-2157241324-869001692-1007)"/>
    <protectedRange sqref="AE139:AE145 S139:T141 V139:W141 Y139:Z141 AH139:AH145 AB139:AC145 AK139:XFD145 E139:K139 I140:K141 M139:O141 F140:G141 G142:G145 O143:O145 C139:C141" name="maria_11" securityDescriptor="O:WDG:WDD:(A;;CC;;;S-1-5-21-3048853270-2157241324-869001692-3245)(A;;CC;;;S-1-5-21-3048853270-2157241324-869001692-1007)"/>
    <protectedRange sqref="Q120 Q130:Q131 Q209:Q211 P139:Q141" name="maria_1_11" securityDescriptor="O:WDG:WDD:(A;;CC;;;S-1-5-21-3048853270-2157241324-869001692-3245)(A;;CC;;;S-1-5-21-3048853270-2157241324-869001692-1007)"/>
    <protectedRange sqref="R139:R162" name="maria_1_1_10" securityDescriptor="O:WDG:WDD:(A;;CC;;;S-1-5-21-3048853270-2157241324-869001692-3245)(A;;CC;;;S-1-5-21-3048853270-2157241324-869001692-1007)"/>
    <protectedRange sqref="I146:K146 V146:W146 AH146 S146:T146 Y146:Z146 AE146 AK146:XFD146 E146:G146 M146:Q146 B146:C146" name="maria_12" securityDescriptor="O:WDG:WDD:(A;;CC;;;S-1-5-21-3048853270-2157241324-869001692-3245)(A;;CC;;;S-1-5-21-3048853270-2157241324-869001692-1007)"/>
    <protectedRange sqref="AH147 AE147 S147:T147 V147:W147 Y147:Z147 I147:K147 M147:O147 E147:G147 AK147:XFD147 O148 O150:O151 O157:O158 B147:C147" name="maria_13" securityDescriptor="O:WDG:WDD:(A;;CC;;;S-1-5-21-3048853270-2157241324-869001692-3245)(A;;CC;;;S-1-5-21-3048853270-2157241324-869001692-1007)"/>
    <protectedRange sqref="P147:Q147" name="maria_1_12" securityDescriptor="O:WDG:WDD:(A;;CC;;;S-1-5-21-3048853270-2157241324-869001692-3245)(A;;CC;;;S-1-5-21-3048853270-2157241324-869001692-1007)"/>
    <protectedRange sqref="S148:T162 V148:W162 Y148:Z162 AB148:AC162 E133:E135 M159:O162 AH148:AH151 E195:E196 E148:G150 E140:E141 AK148:XFD162 AE148:AE162 M149:O149 M148:N148 M152:O156 M150:N151 M157:N158 I148:K156 F151:G156 G157:G162 B148:C156" name="maria_14" securityDescriptor="O:WDG:WDD:(A;;CC;;;S-1-5-21-3048853270-2157241324-869001692-3245)(A;;CC;;;S-1-5-21-3048853270-2157241324-869001692-1007)"/>
    <protectedRange sqref="P148:Q152 P159:Q159" name="maria_1_13" securityDescriptor="O:WDG:WDD:(A;;CC;;;S-1-5-21-3048853270-2157241324-869001692-3245)(A;;CC;;;S-1-5-21-3048853270-2157241324-869001692-1007)"/>
    <protectedRange sqref="AE163 S163:T163 V163:W163 Y163:Z163 O177 AB163:AC163 E163:G163 AK163:XFD163 M163:O163 AH152:AH163 I163:K163 N727 N873 O164:O167 O169 O171 N164:N177 B163:C163" name="maria_15" securityDescriptor="O:WDG:WDD:(A;;CC;;;S-1-5-21-3048853270-2157241324-869001692-3245)(A;;CC;;;S-1-5-21-3048853270-2157241324-869001692-1007)"/>
    <protectedRange sqref="P163:Q163" name="maria_1_14" securityDescriptor="O:WDG:WDD:(A;;CC;;;S-1-5-21-3048853270-2157241324-869001692-3245)(A;;CC;;;S-1-5-21-3048853270-2157241324-869001692-1007)"/>
    <protectedRange sqref="R163:R166 R178:R179" name="maria_1_1_13" securityDescriptor="O:WDG:WDD:(A;;CC;;;S-1-5-21-3048853270-2157241324-869001692-3245)(A;;CC;;;S-1-5-21-3048853270-2157241324-869001692-1007)"/>
    <protectedRange sqref="AE180 M184:R187 V180:W180 E180:G180 K293 K426 AK180:XFD180 AH180:AH181 M180:T180 Y180:Z180 N181:N183 P181:R182 P183 R183 G183:G187 I180:K180 B180:C180" name="maria_16" securityDescriptor="O:WDG:WDD:(A;;CC;;;S-1-5-21-3048853270-2157241324-869001692-3245)(A;;CC;;;S-1-5-21-3048853270-2157241324-869001692-1007)"/>
    <protectedRange sqref="V199:W199 AE199 O200:R201 AH199:AH201 O202 E199:G199 K609 M199:T199 Y199:Z199 AK199:XFD199 I199:K199 N639 N680 N781 N200:N207 O207 Q202:R207 B199:C199" name="maria_17" securityDescriptor="O:WDG:WDD:(A;;CC;;;S-1-5-21-3048853270-2157241324-869001692-3245)(A;;CC;;;S-1-5-21-3048853270-2157241324-869001692-1007)"/>
    <protectedRange sqref="AK188:XFD188 I188:K188 E188:G188 M188:O191 B188:C188" name="maria_18" securityDescriptor="O:WDG:WDD:(A;;CC;;;S-1-5-21-3048853270-2157241324-869001692-3245)(A;;CC;;;S-1-5-21-3048853270-2157241324-869001692-1007)"/>
    <protectedRange sqref="P188:Q191" name="maria_1_16" securityDescriptor="O:WDG:WDD:(A;;CC;;;S-1-5-21-3048853270-2157241324-869001692-3245)(A;;CC;;;S-1-5-21-3048853270-2157241324-869001692-1007)"/>
    <protectedRange sqref="R188:T188 V188:W188 AE188 AH188:AH191 Y188:Z188 R189:R198" name="maria_1_1_14" securityDescriptor="O:WDG:WDD:(A;;CC;;;S-1-5-21-3048853270-2157241324-869001692-3245)(A;;CC;;;S-1-5-21-3048853270-2157241324-869001692-1007)"/>
    <protectedRange sqref="AH215 AE215 S215:T215 V215:W215 Y215:Z215 I215:K215 N216:O218 E215:G215 AK215:XFD215 M215:O215 N219:N223 C215" name="maria_19" securityDescriptor="O:WDG:WDD:(A;;CC;;;S-1-5-21-3048853270-2157241324-869001692-3245)(A;;CC;;;S-1-5-21-3048853270-2157241324-869001692-1007)"/>
    <protectedRange sqref="P215:Q215" name="maria_1_17" securityDescriptor="O:WDG:WDD:(A;;CC;;;S-1-5-21-3048853270-2157241324-869001692-3245)(A;;CC;;;S-1-5-21-3048853270-2157241324-869001692-1007)"/>
    <protectedRange sqref="S219:S223 R215:R223" name="maria_1_1_15" securityDescriptor="O:WDG:WDD:(A;;CC;;;S-1-5-21-3048853270-2157241324-869001692-3245)(A;;CC;;;S-1-5-21-3048853270-2157241324-869001692-1007)"/>
    <protectedRange sqref="AE208 S208:T208 V208:W208 Y208:Z208 N209:O214 B215 E208:G208 M208:O208 AK208:XFD208 G210:G212 AH420:AH425 AH208:AH214 AH290:AH292 I208:K208 B208:C208" name="maria_20" securityDescriptor="O:WDG:WDD:(A;;CC;;;S-1-5-21-3048853270-2157241324-869001692-3245)(A;;CC;;;S-1-5-21-3048853270-2157241324-869001692-1007)"/>
    <protectedRange sqref="P208:Q208 P209:P211" name="maria_1_18" securityDescriptor="O:WDG:WDD:(A;;CC;;;S-1-5-21-3048853270-2157241324-869001692-3245)(A;;CC;;;S-1-5-21-3048853270-2157241324-869001692-1007)"/>
    <protectedRange sqref="Y210:Y212 S210:S212 R208:R214" name="maria_1_1_16" securityDescriptor="O:WDG:WDD:(A;;CC;;;S-1-5-21-3048853270-2157241324-869001692-3245)(A;;CC;;;S-1-5-21-3048853270-2157241324-869001692-1007)"/>
    <protectedRange sqref="AK234:XFD234 I234:K234 B275 B280 B287 B257:B258 E234:G234 G236:G237 O236 M234:O234 B234:C234" name="maria_21" securityDescriptor="O:WDG:WDD:(A;;CC;;;S-1-5-21-3048853270-2157241324-869001692-3245)(A;;CC;;;S-1-5-21-3048853270-2157241324-869001692-1007)"/>
    <protectedRange sqref="P234:Q234 P236:P241 P253 P226:P233" name="maria_1_19" securityDescriptor="O:WDG:WDD:(A;;CC;;;S-1-5-21-3048853270-2157241324-869001692-3245)(A;;CC;;;S-1-5-21-3048853270-2157241324-869001692-1007)"/>
    <protectedRange sqref="R234:T234 V234:W234 AE234 AH234 W236 R235:R236 T236 Z236 R237:T237 V237:W237 AB237:AC237 AH236:AH241 R238:R241 AE236:AE241 Y234:Z234 Y237:Z237" name="maria_1_1_17" securityDescriptor="O:WDG:WDD:(A;;CC;;;S-1-5-21-3048853270-2157241324-869001692-3245)(A;;CC;;;S-1-5-21-3048853270-2157241324-869001692-1007)"/>
    <protectedRange sqref="AK224:XFD224 I224:K224 O224 E224:G224 M224 B224:C224" name="maria_22" securityDescriptor="O:WDG:WDD:(A;;CC;;;S-1-5-21-3048853270-2157241324-869001692-3245)(A;;CC;;;S-1-5-21-3048853270-2157241324-869001692-1007)"/>
    <protectedRange sqref="P224:Q224" name="maria_1_20" securityDescriptor="O:WDG:WDD:(A;;CC;;;S-1-5-21-3048853270-2157241324-869001692-3245)(A;;CC;;;S-1-5-21-3048853270-2157241324-869001692-1007)"/>
    <protectedRange sqref="R224:T224 V224:W224 AH224 Y224:Z224 R225:R233 AE224:AE233" name="maria_1_1_18" securityDescriptor="O:WDG:WDD:(A;;CC;;;S-1-5-21-3048853270-2157241324-869001692-3245)(A;;CC;;;S-1-5-21-3048853270-2157241324-869001692-1007)"/>
    <protectedRange sqref="AE257:AE258 T257:T258 V257:W258 Y257:Z258 AB258:AC258 E259 N258:N269 E257:G258 AH257:AH258 AK257:XFD258 M257:O257 I257:K258 M258 O258 C257:C258" name="maria_23" securityDescriptor="O:WDG:WDD:(A;;CC;;;S-1-5-21-3048853270-2157241324-869001692-3245)(A;;CC;;;S-1-5-21-3048853270-2157241324-869001692-1007)"/>
    <protectedRange sqref="Q270 P257:Q262 Q65:Q69" name="maria_1_21" securityDescriptor="O:WDG:WDD:(A;;CC;;;S-1-5-21-3048853270-2157241324-869001692-3245)(A;;CC;;;S-1-5-21-3048853270-2157241324-869001692-1007)"/>
    <protectedRange sqref="R257:S258 R259:R262 R270:R279 R281:R286" name="maria_1_1_19" securityDescriptor="O:WDG:WDD:(A;;CC;;;S-1-5-21-3048853270-2157241324-869001692-3245)(A;;CC;;;S-1-5-21-3048853270-2157241324-869001692-1007)"/>
    <protectedRange sqref="AH287 AE287 S287:T287 V287:W287 Y287:Z287 N744 N281:N286 AH280 AE280 S280:T280 V280:W280 Y280:Z280 M280:O280 AB280:AC280 AE275 Z281 E280 E287:G287 O281 T281 W281 M287:O287 AK287:XFD287 H292 I287:K287 N719 C287" name="maria_24" securityDescriptor="O:WDG:WDD:(A;;CC;;;S-1-5-21-3048853270-2157241324-869001692-3245)(A;;CC;;;S-1-5-21-3048853270-2157241324-869001692-1007)"/>
    <protectedRange sqref="P287:Q287 P280:Q281 Q275:Q279" name="maria_1_22" securityDescriptor="O:WDG:WDD:(A;;CC;;;S-1-5-21-3048853270-2157241324-869001692-3245)(A;;CC;;;S-1-5-21-3048853270-2157241324-869001692-1007)"/>
    <protectedRange sqref="R280 R296:R303 R287:R292" name="maria_1_1_20" securityDescriptor="O:WDG:WDD:(A;;CC;;;S-1-5-21-3048853270-2157241324-869001692-3245)(A;;CC;;;S-1-5-21-3048853270-2157241324-869001692-1007)"/>
    <protectedRange sqref="S312:T312 V312:W312 Y312:Z312 G315 B317 B329 B346 B354:B364 B374 B416 B383 G313 E313 AE312:AE313 AH312:AH313 E312:G312 E329 B337:B338 AK312:XFD312 G316:H316 M312:O316 I312:K312 B312:C312" name="maria_25" securityDescriptor="O:WDG:WDD:(A;;CC;;;S-1-5-21-3048853270-2157241324-869001692-3245)(A;;CC;;;S-1-5-21-3048853270-2157241324-869001692-1007)"/>
    <protectedRange sqref="P312:Q312 P313:P314 Q314 P315:Q316" name="maria_1_23" securityDescriptor="O:WDG:WDD:(A;;CC;;;S-1-5-21-3048853270-2157241324-869001692-3245)(A;;CC;;;S-1-5-21-3048853270-2157241324-869001692-1007)"/>
    <protectedRange sqref="R312:R316" name="maria_1_1_21" securityDescriptor="O:WDG:WDD:(A;;CC;;;S-1-5-21-3048853270-2157241324-869001692-3245)(A;;CC;;;S-1-5-21-3048853270-2157241324-869001692-1007)"/>
    <protectedRange sqref="AE70 S70:T70 V70:W70 Y70:AA70 AA62 E70:K70 G330 M330 AA123 AK70:XFD70 O330 AA452:AA453 Q330:Q331 AA337:AA338 AA257:AA259 AH71 AA130:AA166 AA275:AA303 AA604:AA613 G71:G75 AA312:AA331 Q70:Q75 AA71:AA98 M70:O75 AA178:AA241 AA346:AA449 AA100:AA121 B70:C70" name="maria_26" securityDescriptor="O:WDG:WDD:(A;;CC;;;S-1-5-21-3048853270-2157241324-869001692-3245)(A;;CC;;;S-1-5-21-3048853270-2157241324-869001692-1007)"/>
    <protectedRange sqref="P330 P70:P75" name="maria_1_24" securityDescriptor="O:WDG:WDD:(A;;CC;;;S-1-5-21-3048853270-2157241324-869001692-3245)(A;;CC;;;S-1-5-21-3048853270-2157241324-869001692-1007)"/>
    <protectedRange sqref="V210:V212 U329:U331 V120 R62 AF62 V346 V131 U452:U453 R330 AF330 X330:X331 U337:U338 AF70:AF75 R70:R75 U346:U419 U426:U449" name="maria_1_1_22" securityDescriptor="O:WDG:WDD:(A;;CC;;;S-1-5-21-3048853270-2157241324-869001692-3245)(A;;CC;;;S-1-5-21-3048853270-2157241324-869001692-1007)"/>
    <protectedRange sqref="R427:R438 V426:Z426 AE426 AH426 M426:T426 AK426:XFD426 E167 E426:G426 I426:J426 X427:X438 B426:C426" name="maria_28" securityDescriptor="O:WDG:WDD:(A;;CC;;;S-1-5-21-3048853270-2157241324-869001692-3245)(A;;CC;;;S-1-5-21-3048853270-2157241324-869001692-1007)"/>
    <protectedRange sqref="AE427:AE438 S427:T438 V427:W438 E79 E130:E131 E427:G429 AB431:AC431 AH427:AH428 AK427:XFD428 E209:E211 E225 AB433:AC438 E605 E115:E121 E95:E98 Y427:Z438 F430:G435 I427:K435 E278 E100:E108 E113 F436:K438 M427:O438 B427:C438 AH429:XFD438" name="maria_29" securityDescriptor="O:WDG:WDD:(A;;CC;;;S-1-5-21-3048853270-2157241324-869001692-3245)(A;;CC;;;S-1-5-21-3048853270-2157241324-869001692-1007)"/>
    <protectedRange sqref="Q219:Q221 P427:Q433 Q235:Q241 Q226:Q227 Q230 Q253 Q232 P434:P438" name="maria_1_25" securityDescriptor="O:WDG:WDD:(A;;CC;;;S-1-5-21-3048853270-2157241324-869001692-3245)(A;;CC;;;S-1-5-21-3048853270-2157241324-869001692-1007)"/>
    <protectedRange sqref="AH364 AE364 S364:T364 V364:W364 Y364:Z364 N365:N373 E364:G364 AK364:XFD364 J346:J353 M364:O364 AH346:AJ353 I364:K364 C364" name="maria_30" securityDescriptor="O:WDG:WDD:(A;;CC;;;S-1-5-21-3048853270-2157241324-869001692-3245)(A;;CC;;;S-1-5-21-3048853270-2157241324-869001692-1007)"/>
    <protectedRange sqref="P364:Q364 Q346 Q365:Q373" name="maria_1_26" securityDescriptor="O:WDG:WDD:(A;;CC;;;S-1-5-21-3048853270-2157241324-869001692-3245)(A;;CC;;;S-1-5-21-3048853270-2157241324-869001692-1007)"/>
    <protectedRange sqref="R374:R415 X364:X419" name="maria_1_1_24" securityDescriptor="O:WDG:WDD:(A;;CC;;;S-1-5-21-3048853270-2157241324-869001692-3245)(A;;CC;;;S-1-5-21-3048853270-2157241324-869001692-1007)"/>
    <protectedRange sqref="AH317 AE317 S317:T317 V317:W317 Y317:Z317 M319:O328 E317:F317 AK317:XFD317 M317:O317 H317:K317 C317" name="maria_31" securityDescriptor="O:WDG:WDD:(A;;CC;;;S-1-5-21-3048853270-2157241324-869001692-3245)(A;;CC;;;S-1-5-21-3048853270-2157241324-869001692-1007)"/>
    <protectedRange sqref="P317:Q317 Q194 P319:Q323 P324:P325 P326:Q327 P328" name="maria_1_27" securityDescriptor="O:WDG:WDD:(A;;CC;;;S-1-5-21-3048853270-2157241324-869001692-3245)(A;;CC;;;S-1-5-21-3048853270-2157241324-869001692-1007)"/>
    <protectedRange sqref="R294 R317:R328" name="maria_1_1_25" securityDescriptor="O:WDG:WDD:(A;;CC;;;S-1-5-21-3048853270-2157241324-869001692-3245)(A;;CC;;;S-1-5-21-3048853270-2157241324-869001692-1007)"/>
    <protectedRange sqref="B293 E293" name="maria_32" securityDescriptor="O:WDG:WDD:(A;;CC;;;S-1-5-21-3048853270-2157241324-869001692-3245)(A;;CC;;;S-1-5-21-3048853270-2157241324-869001692-1007)"/>
    <protectedRange sqref="N739:O739 F293:G293 V293:W293 AE293 AH293 R295 N294:O295 I293:J293 M293:T293 AK293:XFD293 Y293:Z293 G294:G295 G297 N298:N303 C293" name="maria_1_28" securityDescriptor="O:WDG:WDD:(A;;CC;;;S-1-5-21-3048853270-2157241324-869001692-3245)(A;;CC;;;S-1-5-21-3048853270-2157241324-869001692-1007)"/>
    <protectedRange sqref="D649:G649 S607:T653 V623:W653 Y623:Z653 H606:K608 AB614:AC614 V606:Z622 C701:C702 AA305 B305 R305 B761:B767 AK604:XFD604 U747:U766 R747:R766 B747:B759 AA747:AA766 X747:X766 AH604 H612:K612 H609:J609 M604 X99 U99 R99 R783 X783 T270:T274 R786:AC794 AA167:AA177 R457 AA457 X457 U457 B38 AA38 R38 B332:B336 R607:R705 AA614:AA688 X623:X688 U606:U688 AA99 R795 U795 X795 AA795 Y812 AA811:AC812 Y811:Z811 R811:X812 R802:AA802 AB619:AC619 AB641:AC641 R803:AC809 S604:Z604 G786 R813:AC836 AA332:AA336 R332:R336 X332:X336 U332:U336 AE604 AE606:AE653 B606:B699 B457 AA768:AA781 R768:R781 U768:U781 X768:X781 U690:U745 X691:X745 AA690:AA745 B703:B745 R707:R745 AH365 D638:G640 E636:G636 E645:K646 G777:G779 E621:G621 D642:K642 G795 D633:G635 G788 G821 G827 G832 G838 G844 G849 G860 D637:F637 D624:G630 D622:F623 D620:F620 D606:G611 G760 G864:G865 D612:F612 D631:F632 E648:F648 D650:F653 H650 P604:Q604 P606:T606 P607:Q638 M641:Q641 M606:M640 P640:Q640 M644:Q644 M642:M643 P642:Q643 M649:Q650 M645:M648 P645:Q648 M651:M653 P651:Q653 D641:F641 D613:G619 G884 I604:K604 I610:K611 H614:K617 I613:K613 H621:K623 I618:K620 H626:K626 I624:K625 H628:K631 I627:K627 H637:K638 I632:K636 I639:K641 D643:G643 I643:K643 E647:G647 I647:K653 O639:Q639 R796:AC801 D644:K644 R167:R177 R837:R893 AA837:AC893 R784:AA785 U837:X893 B399:B415 B167:B177 B604:G604 C606:C653 AH606:XFD653" name="maria_33" securityDescriptor="O:WDG:WDD:(A;;CC;;;S-1-5-21-3048853270-2157241324-869001692-3245)(A;;CC;;;S-1-5-21-3048853270-2157241324-869001692-1007)"/>
    <protectedRange sqref="AH654 AE654 S654:T654 V654:W654 Y654:Z654 AB654:AC654 M654:O654 D719:D722 AK654:XFD654 I654:K654 C654:G654" name="maria_34" securityDescriptor="O:WDG:WDD:(A;;CC;;;S-1-5-21-3048853270-2157241324-869001692-3245)(A;;CC;;;S-1-5-21-3048853270-2157241324-869001692-1007)"/>
    <protectedRange sqref="P654:Q654" name="maria_1_29" securityDescriptor="O:WDG:WDD:(A;;CC;;;S-1-5-21-3048853270-2157241324-869001692-3245)(A;;CC;;;S-1-5-21-3048853270-2157241324-869001692-1007)"/>
    <protectedRange sqref="E38:F38 Q333:Q334 AE333:AE336 S333:T336 V333:W336 Y334:Z336 Q711:Q712 Q714:Q715 M333:M334 C38 AH333:AH334 AB167:AC177 Q38 AE38 S38:T38 V38:W38 Y38:Z38 M38:O38 AB784:AC785 Z333 AB346:AC346 AB375:AC375 AB384:AC384 AB419:AC429 AB432:AC432 AB439:AC439 AB615:AC618 AB642:AC653 AB676:AC676 AB681:AC681 AB688:AC688 AB707:AC707 AB729:AC729 AB731:AC731 AB746:AC746 AB748:AC749 AB760:AC760 AB802:AC802 AB20:AC20 AB23:AC23 AB27:AC27 AB38:AC38 AB46:AC46 AB54:AC55 AB70:AC70 AB96:AC96 AB124:AC124 AB146:AC147 AB180:AC180 AB188:AC188 AB192:AC192 AB199:AC199 AB203:AC203 AB208:AC208 AB215:AC217 AB234:AC236 AB240:AC240 AB257:AC257 AB287:AC287 AB293:AC293 AB298:AC303 AB305:AC305 AB312:AC313 AB317:AC317 AB333:AC336 AB620:AC640 G41:G45 N39:N41 O41 AH182:AH187 AB604:AC613 H38:K38 F335:G336 E333:G334 I333:K336 AH167:AH177 Q167:Q177 N42:O44 Q45 M45:O45 AH38:AH45 AB224:AC225 C333:C336" name="maria_35" securityDescriptor="O:WDG:WDD:(A;;CC;;;S-1-5-21-3048853270-2157241324-869001692-3245)(A;;CC;;;S-1-5-21-3048853270-2157241324-869001692-1007)"/>
    <protectedRange sqref="P38 P333:P336 P45" name="maria_1_30" securityDescriptor="O:WDG:WDD:(A;;CC;;;S-1-5-21-3048853270-2157241324-869001692-3245)(A;;CC;;;S-1-5-21-3048853270-2157241324-869001692-1007)"/>
    <protectedRange sqref="Y333" name="maria_1_1_27" securityDescriptor="O:WDG:WDD:(A;;CC;;;S-1-5-21-3048853270-2157241324-869001692-3245)(A;;CC;;;S-1-5-21-3048853270-2157241324-869001692-1007)"/>
    <protectedRange sqref="AE655:AE662 S655:T662 V655:W662 Y655:Z662 AB655:AC662 D658:K659 M655:O662 D666 D671:D673 D677:D678 D680 D682:D686 D689 D697:D699 D713:D714 D744:D745 D748:D755 D723:D729 D759 D739:D742 D762:D766 AH655:AH662 AK655:XFD662 D778:D779 D781:E781 D788:D794 D732:D734 D796:D809 D811:D822 D716:D718 D736:D737 D655:G657 I655:K657 D661:K662 D660:G660 I660:K660 D825:D893 C655:C662" name="maria_36" securityDescriptor="O:WDG:WDD:(A;;CC;;;S-1-5-21-3048853270-2157241324-869001692-3245)(A;;CC;;;S-1-5-21-3048853270-2157241324-869001692-1007)"/>
    <protectedRange sqref="P655:Q662" name="maria_1_31" securityDescriptor="O:WDG:WDD:(A;;CC;;;S-1-5-21-3048853270-2157241324-869001692-3245)(A;;CC;;;S-1-5-21-3048853270-2157241324-869001692-1007)"/>
    <protectedRange sqref="AE663:AE664 S663:T664 V663:W664 Y664 Z663:Z664 D664:G664 AB663:AC664 M663:O663 AE675 S675:T675 V675:W675 Z675 AB675:AC675 AH675:XFD675 D674 D676 AH676 D687 D679 AH664 AK664:XFD664 D663:F663 H675:K675 M675:M676 I663:K664 M664 C675:F675 C663:C664 AH663:XFD663" name="maria_37" securityDescriptor="O:WDG:WDD:(A;;CC;;;S-1-5-21-3048853270-2157241324-869001692-3245)(A;;CC;;;S-1-5-21-3048853270-2157241324-869001692-1007)"/>
    <protectedRange sqref="P663:Q664 P675:Q676" name="maria_1_32" securityDescriptor="O:WDG:WDD:(A;;CC;;;S-1-5-21-3048853270-2157241324-869001692-3245)(A;;CC;;;S-1-5-21-3048853270-2157241324-869001692-1007)"/>
    <protectedRange sqref="Y663 Y675" name="maria_1_1_29" securityDescriptor="O:WDG:WDD:(A;;CC;;;S-1-5-21-3048853270-2157241324-869001692-3245)(A;;CC;;;S-1-5-21-3048853270-2157241324-869001692-1007)"/>
    <protectedRange sqref="AE665:AE666 S665:T666 V665:W666 Y666:Z666 AB665:AC666 D665:G665 M665:O666 I665:K666 E666:G666 AH665:AH666 AK665:XFD666 C665:C666" name="maria_38" securityDescriptor="O:WDG:WDD:(A;;CC;;;S-1-5-21-3048853270-2157241324-869001692-3245)(A;;CC;;;S-1-5-21-3048853270-2157241324-869001692-1007)"/>
    <protectedRange sqref="P665:Q665 P666" name="maria_1_33" securityDescriptor="O:WDG:WDD:(A;;CC;;;S-1-5-21-3048853270-2157241324-869001692-3245)(A;;CC;;;S-1-5-21-3048853270-2157241324-869001692-1007)"/>
    <protectedRange sqref="G669:H669 F668:H668 AE667:AE669 S667:T669 V667:W669 Y667:Z669 I667:K669 AB667:AC669 M674:O674 M667:O669 AH667:AH668 AK667:XFD668 F667:G667 C667:E669 AH669:XFD669" name="maria_39" securityDescriptor="O:WDG:WDD:(A;;CC;;;S-1-5-21-3048853270-2157241324-869001692-3245)(A;;CC;;;S-1-5-21-3048853270-2157241324-869001692-1007)"/>
    <protectedRange sqref="P667:Q669 Q674" name="maria_1_34" securityDescriptor="O:WDG:WDD:(A;;CC;;;S-1-5-21-3048853270-2157241324-869001692-3245)(A;;CC;;;S-1-5-21-3048853270-2157241324-869001692-1007)"/>
    <protectedRange sqref="AE670:AE671 S670:T671 V670:W671 D670:G670 AB670:AC671 Y670:Z672 AH672:AJ672 AH677 M677:O677 N273:O274 E671:G671 E672:E673 E677:E678 E689 AH671 AK671:XFD671 AH673 I670:K671 N270:N272 N734:O734 N693:O693 M670:O672 N664:O664 O271 M673 C670:C671 AH670:XFD670" name="maria_40" securityDescriptor="O:WDG:WDD:(A;;CC;;;S-1-5-21-3048853270-2157241324-869001692-3245)(A;;CC;;;S-1-5-21-3048853270-2157241324-869001692-1007)"/>
    <protectedRange sqref="P670:Q673 P677:Q677 Q678:Q680" name="maria_1_35" securityDescriptor="O:WDG:WDD:(A;;CC;;;S-1-5-21-3048853270-2157241324-869001692-3245)(A;;CC;;;S-1-5-21-3048853270-2157241324-869001692-1007)"/>
    <protectedRange sqref="AE216:AE218 S216:T218 V216:W218 Y216:Z218 AB218:AC218 I217:K218 E217:G217 M216:M218 AK216:XFD218 AH216:AH223 E216:F216 H216:K216 E218:F218 C216:C218" name="maria_42" securityDescriptor="O:WDG:WDD:(A;;CC;;;S-1-5-21-3048853270-2157241324-869001692-3245)(A;;CC;;;S-1-5-21-3048853270-2157241324-869001692-1007)"/>
    <protectedRange sqref="P216:Q216 P217:P218" name="maria_1_37" securityDescriptor="O:WDG:WDD:(A;;CC;;;S-1-5-21-3048853270-2157241324-869001692-3245)(A;;CC;;;S-1-5-21-3048853270-2157241324-869001692-1007)"/>
    <protectedRange sqref="S746:T746 V746:W746 AE746 Y746:Z746 AK746:XFD746 M746 AH746 E746:K746 E747 E756:E758 C746" name="maria_7" securityDescriptor="O:WDG:WDD:(A;;CC;;;S-1-5-21-3048853270-2157241324-869001692-3245)(A;;CC;;;S-1-5-21-3048853270-2157241324-869001692-1007)"/>
    <protectedRange sqref="P746" name="maria_1_7" securityDescriptor="O:WDG:WDD:(A;;CC;;;S-1-5-21-3048853270-2157241324-869001692-3245)(A;;CC;;;S-1-5-21-3048853270-2157241324-869001692-1007)"/>
    <protectedRange sqref="AF746" name="maria_1_1_7_1" securityDescriptor="O:WDG:WDD:(A;;CC;;;S-1-5-21-3048853270-2157241324-869001692-3245)(A;;CC;;;S-1-5-21-3048853270-2157241324-869001692-1007)"/>
    <protectedRange sqref="U746 X746 AA746 B746 R746" name="maria_33_1" securityDescriptor="O:WDG:WDD:(A;;CC;;;S-1-5-21-3048853270-2157241324-869001692-3245)(A;;CC;;;S-1-5-21-3048853270-2157241324-869001692-1007)"/>
    <protectedRange sqref="D746:D747 D756:D758" name="maria_36_1" securityDescriptor="O:WDG:WDD:(A;;CC;;;S-1-5-21-3048853270-2157241324-869001692-3245)(A;;CC;;;S-1-5-21-3048853270-2157241324-869001692-1007)"/>
    <protectedRange sqref="S782:T782 V782:W782 AE782 Y782:Z782 AB782:AC782 C782 E782:F782 AH782:AJ782" name="maria_27" securityDescriptor="O:WDG:WDD:(A;;CC;;;S-1-5-21-3048853270-2157241324-869001692-3245)(A;;CC;;;S-1-5-21-3048853270-2157241324-869001692-1007)"/>
    <protectedRange sqref="AF782:AF783" name="maria_1_1_7_2" securityDescriptor="O:WDG:WDD:(A;;CC;;;S-1-5-21-3048853270-2157241324-869001692-3245)(A;;CC;;;S-1-5-21-3048853270-2157241324-869001692-1007)"/>
    <protectedRange sqref="X782 B782 R782 AA782:AA783 U782:U783" name="maria_33_2" securityDescriptor="O:WDG:WDD:(A;;CC;;;S-1-5-21-3048853270-2157241324-869001692-3245)(A;;CC;;;S-1-5-21-3048853270-2157241324-869001692-1007)"/>
    <protectedRange sqref="N782:O782" name="maria_10_1" securityDescriptor="O:WDG:WDD:(A;;CC;;;S-1-5-21-3048853270-2157241324-869001692-3245)(A;;CC;;;S-1-5-21-3048853270-2157241324-869001692-1007)"/>
    <protectedRange sqref="F225:G233 B225:C233" name="maria_41" securityDescriptor="O:WDG:WDD:(A;;CC;;;S-1-5-21-3048853270-2157241324-869001692-3245)(A;;CC;;;S-1-5-21-3048853270-2157241324-869001692-1007)"/>
    <protectedRange sqref="I225:I233" name="maria_43" securityDescriptor="O:WDG:WDD:(A;;CC;;;S-1-5-21-3048853270-2157241324-869001692-3245)(A;;CC;;;S-1-5-21-3048853270-2157241324-869001692-1007)"/>
    <protectedRange sqref="J225:K233" name="maria_44" securityDescriptor="O:WDG:WDD:(A;;CC;;;S-1-5-21-3048853270-2157241324-869001692-3245)(A;;CC;;;S-1-5-21-3048853270-2157241324-869001692-1007)"/>
    <protectedRange sqref="M225:M233" name="maria_22_3" securityDescriptor="O:WDG:WDD:(A;;CC;;;S-1-5-21-3048853270-2157241324-869001692-3245)(A;;CC;;;S-1-5-21-3048853270-2157241324-869001692-1007)"/>
    <protectedRange sqref="P225:Q225" name="maria_1_20_1" securityDescriptor="O:WDG:WDD:(A;;CC;;;S-1-5-21-3048853270-2157241324-869001692-3245)(A;;CC;;;S-1-5-21-3048853270-2157241324-869001692-1007)"/>
    <protectedRange sqref="S225:T233" name="maria_45" securityDescriptor="O:WDG:WDD:(A;;CC;;;S-1-5-21-3048853270-2157241324-869001692-3245)(A;;CC;;;S-1-5-21-3048853270-2157241324-869001692-1007)"/>
    <protectedRange sqref="V225:W233" name="maria_46" securityDescriptor="O:WDG:WDD:(A;;CC;;;S-1-5-21-3048853270-2157241324-869001692-3245)(A;;CC;;;S-1-5-21-3048853270-2157241324-869001692-1007)"/>
    <protectedRange sqref="Y225:Z233" name="maria_47" securityDescriptor="O:WDG:WDD:(A;;CC;;;S-1-5-21-3048853270-2157241324-869001692-3245)(A;;CC;;;S-1-5-21-3048853270-2157241324-869001692-1007)"/>
    <protectedRange sqref="AF225:AF233" name="maria_1_1_7_3" securityDescriptor="O:WDG:WDD:(A;;CC;;;S-1-5-21-3048853270-2157241324-869001692-3245)(A;;CC;;;S-1-5-21-3048853270-2157241324-869001692-1007)"/>
    <protectedRange sqref="V767:W767 AE767 AB767:AC767 N783:O809 S767:T767 Y767:Z767 E767:K767 N771:O771 M767:O770 Q767:Q770 Q772:Q775 M99:O99 N810 O270 M772:O772 N811:O872 M774:O780 M773 M781 O781 O272 O65:O69 N874:O893 C767" name="maria_48" securityDescriptor="O:WDG:WDD:(A;;CC;;;S-1-5-21-3048853270-2157241324-869001692-3245)(A;;CC;;;S-1-5-21-3048853270-2157241324-869001692-1007)"/>
    <protectedRange sqref="P99 P767:P781" name="maria_1_36" securityDescriptor="O:WDG:WDD:(A;;CC;;;S-1-5-21-3048853270-2157241324-869001692-3245)(A;;CC;;;S-1-5-21-3048853270-2157241324-869001692-1007)"/>
    <protectedRange sqref="AF767" name="maria_1_1_7_4" securityDescriptor="O:WDG:WDD:(A;;CC;;;S-1-5-21-3048853270-2157241324-869001692-3245)(A;;CC;;;S-1-5-21-3048853270-2157241324-869001692-1007)"/>
    <protectedRange sqref="X767 AA767 R767 U767" name="maria_33_3" securityDescriptor="O:WDG:WDD:(A;;CC;;;S-1-5-21-3048853270-2157241324-869001692-3245)(A;;CC;;;S-1-5-21-3048853270-2157241324-869001692-1007)"/>
    <protectedRange sqref="D767" name="maria_36_2" securityDescriptor="O:WDG:WDD:(A;;CC;;;S-1-5-21-3048853270-2157241324-869001692-3245)(A;;CC;;;S-1-5-21-3048853270-2157241324-869001692-1007)"/>
    <protectedRange sqref="E771" name="maria_49" securityDescriptor="O:WDG:WDD:(A;;CC;;;S-1-5-21-3048853270-2157241324-869001692-3245)(A;;CC;;;S-1-5-21-3048853270-2157241324-869001692-1007)"/>
    <protectedRange sqref="M771" name="maria_2_1" securityDescriptor="O:WDG:WDD:(A;;CC;;;S-1-5-21-3048853270-2157241324-869001692-3245)(A;;CC;;;S-1-5-21-3048853270-2157241324-869001692-1007)"/>
    <protectedRange sqref="Q771 Q99 Q776:Q781" name="maria_3_1" securityDescriptor="O:WDG:WDD:(A;;CC;;;S-1-5-21-3048853270-2157241324-869001692-3245)(A;;CC;;;S-1-5-21-3048853270-2157241324-869001692-1007)"/>
    <protectedRange sqref="AI654:AJ654" name="maria_34_2" securityDescriptor="O:WDG:WDD:(A;;CC;;;S-1-5-21-3048853270-2157241324-869001692-3245)(A;;CC;;;S-1-5-21-3048853270-2157241324-869001692-1007)"/>
    <protectedRange sqref="AI655:AJ655" name="maria_36_4" securityDescriptor="O:WDG:WDD:(A;;CC;;;S-1-5-21-3048853270-2157241324-869001692-3245)(A;;CC;;;S-1-5-21-3048853270-2157241324-869001692-1007)"/>
    <protectedRange sqref="AI656:AJ656" name="maria_36_6" securityDescriptor="O:WDG:WDD:(A;;CC;;;S-1-5-21-3048853270-2157241324-869001692-3245)(A;;CC;;;S-1-5-21-3048853270-2157241324-869001692-1007)"/>
    <protectedRange sqref="AI657:AJ657" name="maria_36_7" securityDescriptor="O:WDG:WDD:(A;;CC;;;S-1-5-21-3048853270-2157241324-869001692-3245)(A;;CC;;;S-1-5-21-3048853270-2157241324-869001692-1007)"/>
    <protectedRange sqref="AI658:AJ658" name="maria_36_8" securityDescriptor="O:WDG:WDD:(A;;CC;;;S-1-5-21-3048853270-2157241324-869001692-3245)(A;;CC;;;S-1-5-21-3048853270-2157241324-869001692-1007)"/>
    <protectedRange sqref="AI659:AJ659" name="maria_36_9" securityDescriptor="O:WDG:WDD:(A;;CC;;;S-1-5-21-3048853270-2157241324-869001692-3245)(A;;CC;;;S-1-5-21-3048853270-2157241324-869001692-1007)"/>
    <protectedRange sqref="AI660:AJ660" name="maria_36_10" securityDescriptor="O:WDG:WDD:(A;;CC;;;S-1-5-21-3048853270-2157241324-869001692-3245)(A;;CC;;;S-1-5-21-3048853270-2157241324-869001692-1007)"/>
    <protectedRange sqref="AI661:AJ661" name="maria_36_12" securityDescriptor="O:WDG:WDD:(A;;CC;;;S-1-5-21-3048853270-2157241324-869001692-3245)(A;;CC;;;S-1-5-21-3048853270-2157241324-869001692-1007)"/>
    <protectedRange sqref="AI662:AJ662" name="maria_36_14" securityDescriptor="O:WDG:WDD:(A;;CC;;;S-1-5-21-3048853270-2157241324-869001692-3245)(A;;CC;;;S-1-5-21-3048853270-2157241324-869001692-1007)"/>
    <protectedRange sqref="AI664:AJ664" name="maria_37_1" securityDescriptor="O:WDG:WDD:(A;;CC;;;S-1-5-21-3048853270-2157241324-869001692-3245)(A;;CC;;;S-1-5-21-3048853270-2157241324-869001692-1007)"/>
    <protectedRange sqref="AI665:AJ665" name="maria_38_1" securityDescriptor="O:WDG:WDD:(A;;CC;;;S-1-5-21-3048853270-2157241324-869001692-3245)(A;;CC;;;S-1-5-21-3048853270-2157241324-869001692-1007)"/>
    <protectedRange sqref="AI666:AJ666" name="maria_38_3" securityDescriptor="O:WDG:WDD:(A;;CC;;;S-1-5-21-3048853270-2157241324-869001692-3245)(A;;CC;;;S-1-5-21-3048853270-2157241324-869001692-1007)"/>
    <protectedRange sqref="AI667:AJ667" name="maria_39_2" securityDescriptor="O:WDG:WDD:(A;;CC;;;S-1-5-21-3048853270-2157241324-869001692-3245)(A;;CC;;;S-1-5-21-3048853270-2157241324-869001692-1007)"/>
    <protectedRange sqref="AI668:AJ668" name="maria_39_3" securityDescriptor="O:WDG:WDD:(A;;CC;;;S-1-5-21-3048853270-2157241324-869001692-3245)(A;;CC;;;S-1-5-21-3048853270-2157241324-869001692-1007)"/>
    <protectedRange sqref="AI671:AJ671" name="maria_40_1" securityDescriptor="O:WDG:WDD:(A;;CC;;;S-1-5-21-3048853270-2157241324-869001692-3245)(A;;CC;;;S-1-5-21-3048853270-2157241324-869001692-1007)"/>
    <protectedRange sqref="AI673:AJ673" name="maria_40_2" securityDescriptor="O:WDG:WDD:(A;;CC;;;S-1-5-21-3048853270-2157241324-869001692-3245)(A;;CC;;;S-1-5-21-3048853270-2157241324-869001692-1007)"/>
    <protectedRange sqref="AI677:AJ677" name="maria_40_4" securityDescriptor="O:WDG:WDD:(A;;CC;;;S-1-5-21-3048853270-2157241324-869001692-3245)(A;;CC;;;S-1-5-21-3048853270-2157241324-869001692-1007)"/>
    <protectedRange sqref="AI678:AJ678" name="maria_50" securityDescriptor="O:WDG:WDD:(A;;CC;;;S-1-5-21-3048853270-2157241324-869001692-3245)(A;;CC;;;S-1-5-21-3048853270-2157241324-869001692-1007)"/>
    <protectedRange sqref="AI680:AJ680" name="maria_51" securityDescriptor="O:WDG:WDD:(A;;CC;;;S-1-5-21-3048853270-2157241324-869001692-3245)(A;;CC;;;S-1-5-21-3048853270-2157241324-869001692-1007)"/>
    <protectedRange sqref="AI682:AJ682" name="maria_52" securityDescriptor="O:WDG:WDD:(A;;CC;;;S-1-5-21-3048853270-2157241324-869001692-3245)(A;;CC;;;S-1-5-21-3048853270-2157241324-869001692-1007)"/>
    <protectedRange sqref="AI683:AJ683" name="maria_53" securityDescriptor="O:WDG:WDD:(A;;CC;;;S-1-5-21-3048853270-2157241324-869001692-3245)(A;;CC;;;S-1-5-21-3048853270-2157241324-869001692-1007)"/>
    <protectedRange sqref="AI684:AJ684" name="maria_54" securityDescriptor="O:WDG:WDD:(A;;CC;;;S-1-5-21-3048853270-2157241324-869001692-3245)(A;;CC;;;S-1-5-21-3048853270-2157241324-869001692-1007)"/>
    <protectedRange sqref="AI685:AJ685" name="maria_55" securityDescriptor="O:WDG:WDD:(A;;CC;;;S-1-5-21-3048853270-2157241324-869001692-3245)(A;;CC;;;S-1-5-21-3048853270-2157241324-869001692-1007)"/>
    <protectedRange sqref="AI686:AJ686" name="maria_57" securityDescriptor="O:WDG:WDD:(A;;CC;;;S-1-5-21-3048853270-2157241324-869001692-3245)(A;;CC;;;S-1-5-21-3048853270-2157241324-869001692-1007)"/>
    <protectedRange sqref="AI689:AJ689" name="maria_58" securityDescriptor="O:WDG:WDD:(A;;CC;;;S-1-5-21-3048853270-2157241324-869001692-3245)(A;;CC;;;S-1-5-21-3048853270-2157241324-869001692-1007)"/>
    <protectedRange sqref="AI690:AJ690" name="maria_60" securityDescriptor="O:WDG:WDD:(A;;CC;;;S-1-5-21-3048853270-2157241324-869001692-3245)(A;;CC;;;S-1-5-21-3048853270-2157241324-869001692-1007)"/>
    <protectedRange sqref="AI693:AJ693" name="maria_62" securityDescriptor="O:WDG:WDD:(A;;CC;;;S-1-5-21-3048853270-2157241324-869001692-3245)(A;;CC;;;S-1-5-21-3048853270-2157241324-869001692-1007)"/>
    <protectedRange sqref="AI694:AJ694" name="maria_64" securityDescriptor="O:WDG:WDD:(A;;CC;;;S-1-5-21-3048853270-2157241324-869001692-3245)(A;;CC;;;S-1-5-21-3048853270-2157241324-869001692-1007)"/>
    <protectedRange sqref="AI695:AJ695" name="maria_65" securityDescriptor="O:WDG:WDD:(A;;CC;;;S-1-5-21-3048853270-2157241324-869001692-3245)(A;;CC;;;S-1-5-21-3048853270-2157241324-869001692-1007)"/>
    <protectedRange sqref="AI697:AJ697" name="maria_66" securityDescriptor="O:WDG:WDD:(A;;CC;;;S-1-5-21-3048853270-2157241324-869001692-3245)(A;;CC;;;S-1-5-21-3048853270-2157241324-869001692-1007)"/>
    <protectedRange sqref="AI698:AJ698" name="maria_68" securityDescriptor="O:WDG:WDD:(A;;CC;;;S-1-5-21-3048853270-2157241324-869001692-3245)(A;;CC;;;S-1-5-21-3048853270-2157241324-869001692-1007)"/>
    <protectedRange sqref="AI699:AJ699" name="maria_69" securityDescriptor="O:WDG:WDD:(A;;CC;;;S-1-5-21-3048853270-2157241324-869001692-3245)(A;;CC;;;S-1-5-21-3048853270-2157241324-869001692-1007)"/>
    <protectedRange sqref="AI701:AJ701" name="maria_70" securityDescriptor="O:WDG:WDD:(A;;CC;;;S-1-5-21-3048853270-2157241324-869001692-3245)(A;;CC;;;S-1-5-21-3048853270-2157241324-869001692-1007)"/>
    <protectedRange sqref="AI702:AJ702" name="maria_71" securityDescriptor="O:WDG:WDD:(A;;CC;;;S-1-5-21-3048853270-2157241324-869001692-3245)(A;;CC;;;S-1-5-21-3048853270-2157241324-869001692-1007)"/>
    <protectedRange sqref="AI704:AJ704" name="maria_72" securityDescriptor="O:WDG:WDD:(A;;CC;;;S-1-5-21-3048853270-2157241324-869001692-3245)(A;;CC;;;S-1-5-21-3048853270-2157241324-869001692-1007)"/>
    <protectedRange sqref="AI706:AJ706" name="maria_74" securityDescriptor="O:WDG:WDD:(A;;CC;;;S-1-5-21-3048853270-2157241324-869001692-3245)(A;;CC;;;S-1-5-21-3048853270-2157241324-869001692-1007)"/>
    <protectedRange sqref="AI709:AJ709" name="maria_76" securityDescriptor="O:WDG:WDD:(A;;CC;;;S-1-5-21-3048853270-2157241324-869001692-3245)(A;;CC;;;S-1-5-21-3048853270-2157241324-869001692-1007)"/>
    <protectedRange sqref="AI710:AJ710" name="maria_77" securityDescriptor="O:WDG:WDD:(A;;CC;;;S-1-5-21-3048853270-2157241324-869001692-3245)(A;;CC;;;S-1-5-21-3048853270-2157241324-869001692-1007)"/>
    <protectedRange sqref="AI711:AJ711" name="maria_78" securityDescriptor="O:WDG:WDD:(A;;CC;;;S-1-5-21-3048853270-2157241324-869001692-3245)(A;;CC;;;S-1-5-21-3048853270-2157241324-869001692-1007)"/>
    <protectedRange sqref="AI712:AJ712" name="maria_79" securityDescriptor="O:WDG:WDD:(A;;CC;;;S-1-5-21-3048853270-2157241324-869001692-3245)(A;;CC;;;S-1-5-21-3048853270-2157241324-869001692-1007)"/>
    <protectedRange sqref="AI713:AJ713" name="maria_80" securityDescriptor="O:WDG:WDD:(A;;CC;;;S-1-5-21-3048853270-2157241324-869001692-3245)(A;;CC;;;S-1-5-21-3048853270-2157241324-869001692-1007)"/>
    <protectedRange sqref="AI714:AJ714" name="maria_81" securityDescriptor="O:WDG:WDD:(A;;CC;;;S-1-5-21-3048853270-2157241324-869001692-3245)(A;;CC;;;S-1-5-21-3048853270-2157241324-869001692-1007)"/>
    <protectedRange sqref="AI716:AJ716" name="maria_82" securityDescriptor="O:WDG:WDD:(A;;CC;;;S-1-5-21-3048853270-2157241324-869001692-3245)(A;;CC;;;S-1-5-21-3048853270-2157241324-869001692-1007)"/>
    <protectedRange sqref="AI717:AJ717" name="maria_83" securityDescriptor="O:WDG:WDD:(A;;CC;;;S-1-5-21-3048853270-2157241324-869001692-3245)(A;;CC;;;S-1-5-21-3048853270-2157241324-869001692-1007)"/>
    <protectedRange sqref="AI718:AJ718" name="maria_84" securityDescriptor="O:WDG:WDD:(A;;CC;;;S-1-5-21-3048853270-2157241324-869001692-3245)(A;;CC;;;S-1-5-21-3048853270-2157241324-869001692-1007)"/>
    <protectedRange sqref="AI719:AJ719" name="maria_85" securityDescriptor="O:WDG:WDD:(A;;CC;;;S-1-5-21-3048853270-2157241324-869001692-3245)(A;;CC;;;S-1-5-21-3048853270-2157241324-869001692-1007)"/>
    <protectedRange sqref="AI720:AJ720" name="maria_87" securityDescriptor="O:WDG:WDD:(A;;CC;;;S-1-5-21-3048853270-2157241324-869001692-3245)(A;;CC;;;S-1-5-21-3048853270-2157241324-869001692-1007)"/>
    <protectedRange sqref="AI721:AJ721" name="maria_88" securityDescriptor="O:WDG:WDD:(A;;CC;;;S-1-5-21-3048853270-2157241324-869001692-3245)(A;;CC;;;S-1-5-21-3048853270-2157241324-869001692-1007)"/>
    <protectedRange sqref="AI722:AJ722" name="maria_89" securityDescriptor="O:WDG:WDD:(A;;CC;;;S-1-5-21-3048853270-2157241324-869001692-3245)(A;;CC;;;S-1-5-21-3048853270-2157241324-869001692-1007)"/>
    <protectedRange sqref="AI724:AJ724" name="maria_91" securityDescriptor="O:WDG:WDD:(A;;CC;;;S-1-5-21-3048853270-2157241324-869001692-3245)(A;;CC;;;S-1-5-21-3048853270-2157241324-869001692-1007)"/>
    <protectedRange sqref="AI725:AJ725" name="maria_92" securityDescriptor="O:WDG:WDD:(A;;CC;;;S-1-5-21-3048853270-2157241324-869001692-3245)(A;;CC;;;S-1-5-21-3048853270-2157241324-869001692-1007)"/>
    <protectedRange sqref="AI726:AJ726" name="maria_93" securityDescriptor="O:WDG:WDD:(A;;CC;;;S-1-5-21-3048853270-2157241324-869001692-3245)(A;;CC;;;S-1-5-21-3048853270-2157241324-869001692-1007)"/>
    <protectedRange sqref="AI727:AJ727" name="maria_95" securityDescriptor="O:WDG:WDD:(A;;CC;;;S-1-5-21-3048853270-2157241324-869001692-3245)(A;;CC;;;S-1-5-21-3048853270-2157241324-869001692-1007)"/>
    <protectedRange sqref="AI728:AJ728" name="maria_96" securityDescriptor="O:WDG:WDD:(A;;CC;;;S-1-5-21-3048853270-2157241324-869001692-3245)(A;;CC;;;S-1-5-21-3048853270-2157241324-869001692-1007)"/>
    <protectedRange sqref="AI732:AJ732" name="maria_98" securityDescriptor="O:WDG:WDD:(A;;CC;;;S-1-5-21-3048853270-2157241324-869001692-3245)(A;;CC;;;S-1-5-21-3048853270-2157241324-869001692-1007)"/>
    <protectedRange sqref="AI733:AJ733 G853" name="maria_99" securityDescriptor="O:WDG:WDD:(A;;CC;;;S-1-5-21-3048853270-2157241324-869001692-3245)(A;;CC;;;S-1-5-21-3048853270-2157241324-869001692-1007)"/>
    <protectedRange sqref="AI746:AJ746" name="maria_7_1" securityDescriptor="O:WDG:WDD:(A;;CC;;;S-1-5-21-3048853270-2157241324-869001692-3245)(A;;CC;;;S-1-5-21-3048853270-2157241324-869001692-1007)"/>
    <protectedRange sqref="AI364:AJ364" name="maria_30_1" securityDescriptor="O:WDG:WDD:(A;;CC;;;S-1-5-21-3048853270-2157241324-869001692-3245)(A;;CC;;;S-1-5-21-3048853270-2157241324-869001692-1007)"/>
    <protectedRange sqref="AI426:AJ426" name="maria_28_1" securityDescriptor="O:WDG:WDD:(A;;CC;;;S-1-5-21-3048853270-2157241324-869001692-3245)(A;;CC;;;S-1-5-21-3048853270-2157241324-869001692-1007)"/>
    <protectedRange sqref="AI427:AJ427" name="maria_29_1" securityDescriptor="O:WDG:WDD:(A;;CC;;;S-1-5-21-3048853270-2157241324-869001692-3245)(A;;CC;;;S-1-5-21-3048853270-2157241324-869001692-1007)"/>
    <protectedRange sqref="AI428:AJ428" name="maria_29_2" securityDescriptor="O:WDG:WDD:(A;;CC;;;S-1-5-21-3048853270-2157241324-869001692-3245)(A;;CC;;;S-1-5-21-3048853270-2157241324-869001692-1007)"/>
    <protectedRange sqref="AI333:AJ333" name="maria_35_3" securityDescriptor="O:WDG:WDD:(A;;CC;;;S-1-5-21-3048853270-2157241324-869001692-3245)(A;;CC;;;S-1-5-21-3048853270-2157241324-869001692-1007)"/>
    <protectedRange sqref="AI334:AJ336" name="maria_35_4" securityDescriptor="O:WDG:WDD:(A;;CC;;;S-1-5-21-3048853270-2157241324-869001692-3245)(A;;CC;;;S-1-5-21-3048853270-2157241324-869001692-1007)"/>
    <protectedRange sqref="AI604:AJ604" name="maria_33_4" securityDescriptor="O:WDG:WDD:(A;;CC;;;S-1-5-21-3048853270-2157241324-869001692-3245)(A;;CC;;;S-1-5-21-3048853270-2157241324-869001692-1007)"/>
    <protectedRange sqref="AK450:XFD451 E450:E453 P450:Q453" name="maria_56" securityDescriptor="O:WDG:WDD:(A;;CC;;;S-1-5-21-3048853270-2157241324-869001692-3245)(A;;CC;;;S-1-5-21-3048853270-2157241324-869001692-1007)"/>
    <protectedRange sqref="D450 D452:D453" name="maria_5_1" securityDescriptor="O:WDG:WDD:(A;;CC;;;S-1-5-21-3048853270-2157241324-869001692-3245)(A;;CC;;;S-1-5-21-3048853270-2157241324-869001692-1007)"/>
    <protectedRange sqref="AF450:AF451" name="maria_1_1_7_5" securityDescriptor="O:WDG:WDD:(A;;CC;;;S-1-5-21-3048853270-2157241324-869001692-3245)(A;;CC;;;S-1-5-21-3048853270-2157241324-869001692-1007)"/>
    <protectedRange sqref="R450:AC451" name="maria_33_5" securityDescriptor="O:WDG:WDD:(A;;CC;;;S-1-5-21-3048853270-2157241324-869001692-3245)(A;;CC;;;S-1-5-21-3048853270-2157241324-869001692-1007)"/>
    <protectedRange sqref="M451:O451 M450 O450" name="maria_48_1" securityDescriptor="O:WDG:WDD:(A;;CC;;;S-1-5-21-3048853270-2157241324-869001692-3245)(A;;CC;;;S-1-5-21-3048853270-2157241324-869001692-1007)"/>
    <protectedRange sqref="F454:G456 R454:T456 V454:Z456 AB454:AC456 I454:K456 M455:O456 AE454:AE456 M454 B454:C456 AH454:XFD456" name="maria_59" securityDescriptor="O:WDG:WDD:(A;;CC;;;S-1-5-21-3048853270-2157241324-869001692-3245)(A;;CC;;;S-1-5-21-3048853270-2157241324-869001692-1007)"/>
    <protectedRange sqref="AF454:AF456" name="maria_1_1_7_6" securityDescriptor="O:WDG:WDD:(A;;CC;;;S-1-5-21-3048853270-2157241324-869001692-3245)(A;;CC;;;S-1-5-21-3048853270-2157241324-869001692-1007)"/>
    <protectedRange sqref="AA454:AA456" name="maria_26_2" securityDescriptor="O:WDG:WDD:(A;;CC;;;S-1-5-21-3048853270-2157241324-869001692-3245)(A;;CC;;;S-1-5-21-3048853270-2157241324-869001692-1007)"/>
    <protectedRange sqref="U454:U456" name="maria_1_1_22_1" securityDescriptor="O:WDG:WDD:(A;;CC;;;S-1-5-21-3048853270-2157241324-869001692-3245)(A;;CC;;;S-1-5-21-3048853270-2157241324-869001692-1007)"/>
    <protectedRange sqref="P454:Q456 E454:E456" name="maria_56_1" securityDescriptor="O:WDG:WDD:(A;;CC;;;S-1-5-21-3048853270-2157241324-869001692-3245)(A;;CC;;;S-1-5-21-3048853270-2157241324-869001692-1007)"/>
    <protectedRange sqref="D454" name="maria_5_1_1" securityDescriptor="O:WDG:WDD:(A;;CC;;;S-1-5-21-3048853270-2157241324-869001692-3245)(A;;CC;;;S-1-5-21-3048853270-2157241324-869001692-1007)"/>
    <protectedRange sqref="V196"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8" name="Aurelian" securityDescriptor="O:WDG:WDD:(A;;CC;;;S-1-5-21-3048853270-2157241324-869001692-3245)"/>
    <protectedRange algorithmName="SHA-512" hashValue="lGxgJO7OrK4RnR9Q5GyLdphtXSoKHWuU/DeqTwJZs4H1lZxtBvfwyidbkva9W10WZdVConxSMgW/uAS6mxdKPg==" saltValue="rUT2GzIQhp6pti72S74yRQ==" spinCount="100000" sqref="C605 C100" name="Aurelian_1" securityDescriptor="O:WDG:WDD:(A;;CC;;;S-1-5-21-3048853270-2157241324-869001692-3245)"/>
    <protectedRange algorithmName="SHA-512" hashValue="lGxgJO7OrK4RnR9Q5GyLdphtXSoKHWuU/DeqTwJZs4H1lZxtBvfwyidbkva9W10WZdVConxSMgW/uAS6mxdKPg==" saltValue="rUT2GzIQhp6pti72S74yRQ==" spinCount="100000" sqref="C101:C119" name="Aurelian_2" securityDescriptor="O:WDG:WDD:(A;;CC;;;S-1-5-21-3048853270-2157241324-869001692-3245)"/>
    <protectedRange algorithmName="SHA-512" hashValue="lGxgJO7OrK4RnR9Q5GyLdphtXSoKHWuU/DeqTwJZs4H1lZxtBvfwyidbkva9W10WZdVConxSMgW/uAS6mxdKPg==" saltValue="rUT2GzIQhp6pti72S74yRQ==" spinCount="100000" sqref="F98" name="Aurelian_3" securityDescriptor="O:WDG:WDD:(A;;CC;;;S-1-5-21-3048853270-2157241324-869001692-3245)"/>
    <protectedRange algorithmName="SHA-512" hashValue="lGxgJO7OrK4RnR9Q5GyLdphtXSoKHWuU/DeqTwJZs4H1lZxtBvfwyidbkva9W10WZdVConxSMgW/uAS6mxdKPg==" saltValue="rUT2GzIQhp6pti72S74yRQ==" spinCount="100000" sqref="F605 F100" name="Aurelian_4" securityDescriptor="O:WDG:WDD:(A;;CC;;;S-1-5-21-3048853270-2157241324-869001692-3245)"/>
    <protectedRange algorithmName="SHA-512" hashValue="lGxgJO7OrK4RnR9Q5GyLdphtXSoKHWuU/DeqTwJZs4H1lZxtBvfwyidbkva9W10WZdVConxSMgW/uAS6mxdKPg==" saltValue="rUT2GzIQhp6pti72S74yRQ==" spinCount="100000" sqref="F101:F119" name="Aurelian_5" securityDescriptor="O:WDG:WDD:(A;;CC;;;S-1-5-21-3048853270-2157241324-869001692-3245)"/>
    <protectedRange sqref="AK243:XFD256 V242:W256 E242:E243 M242:O246 G242:G256 M247:N249 O249 AH242:AH256 I242:J256 K415 M250:O252 M254:O256 Y242:AC256 R242:T256 K256 K328 B242:C256 AE242:AF256" name="maria_67" securityDescriptor="O:WDG:WDD:(A;;CC;;;S-1-5-21-3048853270-2157241324-869001692-3245)(A;;CC;;;S-1-5-21-3048853270-2157241324-869001692-1007)"/>
    <protectedRange sqref="Q228:Q229 P242:Q252 Q231 P254:Q256 Q233" name="maria_1_2_2" securityDescriptor="O:WDG:WDD:(A;;CC;;;S-1-5-21-3048853270-2157241324-869001692-3245)(A;;CC;;;S-1-5-21-3048853270-2157241324-869001692-1007)"/>
    <protectedRange sqref="G339:G345 M339 I339:K345 O341 E339 R339:AC345 O339 O343:O345 B339:C345 AH339:XFD345 AE339:AF345" name="maria_1" securityDescriptor="O:WDG:WDD:(A;;CC;;;S-1-5-21-3048853270-2157241324-869001692-3245)(A;;CC;;;S-1-5-21-3048853270-2157241324-869001692-1007)"/>
    <protectedRange sqref="P339:Q339" name="maria_1_2_1" securityDescriptor="O:WDG:WDD:(A;;CC;;;S-1-5-21-3048853270-2157241324-869001692-3245)(A;;CC;;;S-1-5-21-3048853270-2157241324-869001692-1007)"/>
    <protectedRange sqref="R810:AC810 O810:P810 AK810:XFD810 AH810 I810:K810 B810:G810 AE810:AF810" name="maria_73" securityDescriptor="O:WDG:WDD:(A;;CC;;;S-1-5-21-3048853270-2157241324-869001692-3245)(A;;CC;;;S-1-5-21-3048853270-2157241324-869001692-1007)"/>
    <protectedRange sqref="Q810" name="maria_1_2_4" securityDescriptor="O:WDG:WDD:(A;;CC;;;S-1-5-21-3048853270-2157241324-869001692-3245)(A;;CC;;;S-1-5-21-3048853270-2157241324-869001692-1007)"/>
    <protectedRange sqref="J282:K286" name="maria_1_38" securityDescriptor="O:WDG:WDD:(A;;CC;;;S-1-5-21-3048853270-2157241324-869001692-3245)(A;;CC;;;S-1-5-21-3048853270-2157241324-869001692-1007)"/>
    <protectedRange sqref="M282:M283 O282:O283 M284:N286" name="maria_3_2" securityDescriptor="O:WDG:WDD:(A;;CC;;;S-1-5-21-3048853270-2157241324-869001692-3245)(A;;CC;;;S-1-5-21-3048853270-2157241324-869001692-1007)"/>
    <protectedRange sqref="P282:P286" name="maria_1_3_1" securityDescriptor="O:WDG:WDD:(A;;CC;;;S-1-5-21-3048853270-2157241324-869001692-3245)(A;;CC;;;S-1-5-21-3048853270-2157241324-869001692-1007)"/>
    <protectedRange sqref="Q282:Q286" name="maria_1_4_2" securityDescriptor="O:WDG:WDD:(A;;CC;;;S-1-5-21-3048853270-2157241324-869001692-3245)(A;;CC;;;S-1-5-21-3048853270-2157241324-869001692-1007)"/>
    <protectedRange sqref="S282:T286" name="maria_1_39" securityDescriptor="O:WDG:WDD:(A;;CC;;;S-1-5-21-3048853270-2157241324-869001692-3245)(A;;CC;;;S-1-5-21-3048853270-2157241324-869001692-1007)"/>
    <protectedRange sqref="V282:W286" name="maria_1_40" securityDescriptor="O:WDG:WDD:(A;;CC;;;S-1-5-21-3048853270-2157241324-869001692-3245)(A;;CC;;;S-1-5-21-3048853270-2157241324-869001692-1007)"/>
    <protectedRange sqref="Y282:Z286" name="maria_1_41" securityDescriptor="O:WDG:WDD:(A;;CC;;;S-1-5-21-3048853270-2157241324-869001692-3245)(A;;CC;;;S-1-5-21-3048853270-2157241324-869001692-1007)"/>
    <protectedRange sqref="E823:E824" name="maria_2" securityDescriptor="O:WDG:WDD:(A;;CC;;;S-1-5-21-3048853270-2157241324-869001692-3245)(A;;CC;;;S-1-5-21-3048853270-2157241324-869001692-1007)"/>
    <protectedRange sqref="D823:D824" name="maria_36_1_1" securityDescriptor="O:WDG:WDD:(A;;CC;;;S-1-5-21-3048853270-2157241324-869001692-3245)(A;;CC;;;S-1-5-21-3048853270-2157241324-869001692-1007)"/>
    <protectedRange sqref="G823" name="maria_1_42" securityDescriptor="O:WDG:WDD:(A;;CC;;;S-1-5-21-3048853270-2157241324-869001692-3245)(A;;CC;;;S-1-5-21-3048853270-2157241324-869001692-1007)"/>
    <protectedRange sqref="J835:K835" name="maria_1_44" securityDescriptor="O:WDG:WDD:(A;;CC;;;S-1-5-21-3048853270-2157241324-869001692-3245)(A;;CC;;;S-1-5-21-3048853270-2157241324-869001692-1007)"/>
    <protectedRange sqref="I835" name="maria_1_48" securityDescriptor="O:WDG:WDD:(A;;CC;;;S-1-5-21-3048853270-2157241324-869001692-3245)(A;;CC;;;S-1-5-21-3048853270-2157241324-869001692-1007)"/>
    <protectedRange sqref="J837:K852" name="maria_1_2" securityDescriptor="O:WDG:WDD:(A;;CC;;;S-1-5-21-3048853270-2157241324-869001692-3245)(A;;CC;;;S-1-5-21-3048853270-2157241324-869001692-1007)"/>
    <protectedRange sqref="S837:T846" name="maria_1_43" securityDescriptor="O:WDG:WDD:(A;;CC;;;S-1-5-21-3048853270-2157241324-869001692-3245)(A;;CC;;;S-1-5-21-3048853270-2157241324-869001692-1007)"/>
    <protectedRange sqref="Y837:Z852 Y854:Z893" name="maria_1_45" securityDescriptor="O:WDG:WDD:(A;;CC;;;S-1-5-21-3048853270-2157241324-869001692-3245)(A;;CC;;;S-1-5-21-3048853270-2157241324-869001692-1007)"/>
    <protectedRange sqref="B854:C893 B841:C852" name="maria_1_46" securityDescriptor="O:WDG:WDD:(A;;CC;;;S-1-5-21-3048853270-2157241324-869001692-3245)(A;;CC;;;S-1-5-21-3048853270-2157241324-869001692-1007)"/>
    <protectedRange sqref="H846:H849 G631 G856:G859 F844 H844:I844 G861:G863 G848 F841:I843 G830 G824 G806 G799 G675 G650 G637 G622:G623 G620 H854:H857 H851:H852 H863 G866:H866 H868:H872 H879:H881 H883:H885 H887" name="maria_1_47" securityDescriptor="O:WDG:WDD:(A;;CC;;;S-1-5-21-3048853270-2157241324-869001692-3245)(A;;CC;;;S-1-5-21-3048853270-2157241324-869001692-1007)"/>
    <protectedRange sqref="F845:G847 F854:G855 F856:F866 F850:G852 F848:F849" name="maria_1_49" securityDescriptor="O:WDG:WDD:(A;;CC;;;S-1-5-21-3048853270-2157241324-869001692-3245)(A;;CC;;;S-1-5-21-3048853270-2157241324-869001692-1007)"/>
    <protectedRange sqref="I845:I852 I854:I866" name="maria_1_50" securityDescriptor="O:WDG:WDD:(A;;CC;;;S-1-5-21-3048853270-2157241324-869001692-3245)(A;;CC;;;S-1-5-21-3048853270-2157241324-869001692-1007)"/>
    <protectedRange sqref="S847:T852 S854:T893"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12:M214 E212:F212 I212:K212 E15:F18 I15:K19 M15:O18 F19 B15:C19" name="maria_5_2" securityDescriptor="O:WDG:WDD:(A;;CC;;;S-1-5-21-3048853270-2157241324-869001692-3245)(A;;CC;;;S-1-5-21-3048853270-2157241324-869001692-1007)"/>
    <protectedRange sqref="P212:Q212 P15:Q18 Q290:Q292 Q19 P213:P214 P420:Q425"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28:G129" name="maria_75" securityDescriptor="O:WDG:WDD:(A;;CC;;;S-1-5-21-3048853270-2157241324-869001692-3245)(A;;CC;;;S-1-5-21-3048853270-2157241324-869001692-1007)"/>
    <protectedRange sqref="X127:X129 U127:U129" name="maria_1_1_2_2" securityDescriptor="O:WDG:WDD:(A;;CC;;;S-1-5-21-3048853270-2157241324-869001692-3245)(A;;CC;;;S-1-5-21-3048853270-2157241324-869001692-1007)"/>
    <protectedRange sqref="AE127:AE129 S127:T129 V127:W129 Y127:Z129 AB127:AC129 I127:K129 E66:E67 E127:F129 M127:O128 M129:N129 B127:C129" name="maria_5_4" securityDescriptor="O:WDG:WDD:(A;;CC;;;S-1-5-21-3048853270-2157241324-869001692-3245)(A;;CC;;;S-1-5-21-3048853270-2157241324-869001692-1007)"/>
    <protectedRange sqref="P127:Q129" name="maria_1_5_3" securityDescriptor="O:WDG:WDD:(A;;CC;;;S-1-5-21-3048853270-2157241324-869001692-3245)(A;;CC;;;S-1-5-21-3048853270-2157241324-869001692-1007)"/>
    <protectedRange sqref="AA127:AA129 R127:R129 AF127:AF129" name="maria_1_1_4_2" securityDescriptor="O:WDG:WDD:(A;;CC;;;S-1-5-21-3048853270-2157241324-869001692-3245)(A;;CC;;;S-1-5-21-3048853270-2157241324-869001692-1007)"/>
    <protectedRange sqref="X263:X269 U263:U269" name="maria_1_1_2_3" securityDescriptor="O:WDG:WDD:(A;;CC;;;S-1-5-21-3048853270-2157241324-869001692-3245)(A;;CC;;;S-1-5-21-3048853270-2157241324-869001692-1007)"/>
    <protectedRange sqref="AE263:AE269 S263:T269 V263:W269 AB263:AC269 O263:O269 E263:F266 I263:K269 F267:F269 Y263:Z269 M263:M269 B263:C269" name="maria_5_5" securityDescriptor="O:WDG:WDD:(A;;CC;;;S-1-5-21-3048853270-2157241324-869001692-3245)(A;;CC;;;S-1-5-21-3048853270-2157241324-869001692-1007)"/>
    <protectedRange sqref="P263:Q269" name="maria_1_5_4" securityDescriptor="O:WDG:WDD:(A;;CC;;;S-1-5-21-3048853270-2157241324-869001692-3245)(A;;CC;;;S-1-5-21-3048853270-2157241324-869001692-1007)"/>
    <protectedRange sqref="AA263:AA269 R263:R269 AF263:AF269" name="maria_1_1_4_3" securityDescriptor="O:WDG:WDD:(A;;CC;;;S-1-5-21-3048853270-2157241324-869001692-3245)(A;;CC;;;S-1-5-21-3048853270-2157241324-869001692-1007)"/>
    <protectedRange sqref="E351:E353" name="maria_5_6" securityDescriptor="O:WDG:WDD:(A;;CC;;;S-1-5-21-3048853270-2157241324-869001692-3245)(A;;CC;;;S-1-5-21-3048853270-2157241324-869001692-1007)"/>
    <protectedRange sqref="E244:E246 E228:E230" name="maria_5_7" securityDescriptor="O:WDG:WDD:(A;;CC;;;S-1-5-21-3048853270-2157241324-869001692-3245)(A;;CC;;;S-1-5-21-3048853270-2157241324-869001692-1007)"/>
    <protectedRange sqref="E378 E222 E290:E291 E283 E307:E308 E40:E42 E299:E302 E335:E336 E420:E424" name="maria_5_8" securityDescriptor="O:WDG:WDD:(A;;CC;;;S-1-5-21-3048853270-2157241324-869001692-3245)(A;;CC;;;S-1-5-21-3048853270-2157241324-869001692-1007)"/>
    <protectedRange sqref="E436 E441:E444" name="maria_5_9" securityDescriptor="O:WDG:WDD:(A;;CC;;;S-1-5-21-3048853270-2157241324-869001692-3245)(A;;CC;;;S-1-5-21-3048853270-2157241324-869001692-1007)"/>
    <protectedRange sqref="M136:M138 E136:F136 H137:K137 F137:F138 I136:K136 O137 I138:K138 B136:C138" name="maria_5_10" securityDescriptor="O:WDG:WDD:(A;;CC;;;S-1-5-21-3048853270-2157241324-869001692-3245)(A;;CC;;;S-1-5-21-3048853270-2157241324-869001692-1007)"/>
    <protectedRange sqref="P136:Q138" name="maria_1_5_5" securityDescriptor="O:WDG:WDD:(A;;CC;;;S-1-5-21-3048853270-2157241324-869001692-3245)(A;;CC;;;S-1-5-21-3048853270-2157241324-869001692-1007)"/>
    <protectedRange sqref="S136:T138" name="maria_5_11" securityDescriptor="O:WDG:WDD:(A;;CC;;;S-1-5-21-3048853270-2157241324-869001692-3245)(A;;CC;;;S-1-5-21-3048853270-2157241324-869001692-1007)"/>
    <protectedRange sqref="V136:W138" name="maria_5_12" securityDescriptor="O:WDG:WDD:(A;;CC;;;S-1-5-21-3048853270-2157241324-869001692-3245)(A;;CC;;;S-1-5-21-3048853270-2157241324-869001692-1007)"/>
    <protectedRange sqref="Y136:Z138" name="maria_5_13" securityDescriptor="O:WDG:WDD:(A;;CC;;;S-1-5-21-3048853270-2157241324-869001692-3245)(A;;CC;;;S-1-5-21-3048853270-2157241324-869001692-1007)"/>
    <protectedRange sqref="AB136:AC138" name="maria_5_14" securityDescriptor="O:WDG:WDD:(A;;CC;;;S-1-5-21-3048853270-2157241324-869001692-3245)(A;;CC;;;S-1-5-21-3048853270-2157241324-869001692-1007)"/>
    <protectedRange sqref="G213:G214" name="maria_86" securityDescriptor="O:WDG:WDD:(A;;CC;;;S-1-5-21-3048853270-2157241324-869001692-3245)(A;;CC;;;S-1-5-21-3048853270-2157241324-869001692-1007)"/>
    <protectedRange sqref="F214 E213:F213 I213:K214 B213:C214" name="maria_5_15" securityDescriptor="O:WDG:WDD:(A;;CC;;;S-1-5-21-3048853270-2157241324-869001692-3245)(A;;CC;;;S-1-5-21-3048853270-2157241324-869001692-1007)"/>
    <protectedRange sqref="Q213:Q214" name="maria_1_5_6" securityDescriptor="O:WDG:WDD:(A;;CC;;;S-1-5-21-3048853270-2157241324-869001692-3245)(A;;CC;;;S-1-5-21-3048853270-2157241324-869001692-1007)"/>
    <protectedRange sqref="S213:T214" name="maria_5_16" securityDescriptor="O:WDG:WDD:(A;;CC;;;S-1-5-21-3048853270-2157241324-869001692-3245)(A;;CC;;;S-1-5-21-3048853270-2157241324-869001692-1007)"/>
    <protectedRange sqref="V213:W214" name="maria_5_17" securityDescriptor="O:WDG:WDD:(A;;CC;;;S-1-5-21-3048853270-2157241324-869001692-3245)(A;;CC;;;S-1-5-21-3048853270-2157241324-869001692-1007)"/>
    <protectedRange sqref="Y213:Z214" name="maria_5_18" securityDescriptor="O:WDG:WDD:(A;;CC;;;S-1-5-21-3048853270-2157241324-869001692-3245)(A;;CC;;;S-1-5-21-3048853270-2157241324-869001692-1007)"/>
    <protectedRange sqref="F145 H142:I142 I143:I145 E142:F144 B142:C145" name="maria_5_19" securityDescriptor="O:WDG:WDD:(A;;CC;;;S-1-5-21-3048853270-2157241324-869001692-3245)(A;;CC;;;S-1-5-21-3048853270-2157241324-869001692-1007)"/>
    <protectedRange sqref="J142:K145" name="maria_5_20" securityDescriptor="O:WDG:WDD:(A;;CC;;;S-1-5-21-3048853270-2157241324-869001692-3245)(A;;CC;;;S-1-5-21-3048853270-2157241324-869001692-1007)"/>
    <protectedRange sqref="O142 M142:M145" name="maria_5_21" securityDescriptor="O:WDG:WDD:(A;;CC;;;S-1-5-21-3048853270-2157241324-869001692-3245)(A;;CC;;;S-1-5-21-3048853270-2157241324-869001692-1007)"/>
    <protectedRange sqref="P142:Q145" name="maria_1_5_7" securityDescriptor="O:WDG:WDD:(A;;CC;;;S-1-5-21-3048853270-2157241324-869001692-3245)(A;;CC;;;S-1-5-21-3048853270-2157241324-869001692-1007)"/>
    <protectedRange sqref="N142:N145" name="maria_11_1" securityDescriptor="O:WDG:WDD:(A;;CC;;;S-1-5-21-3048853270-2157241324-869001692-3245)(A;;CC;;;S-1-5-21-3048853270-2157241324-869001692-1007)"/>
    <protectedRange sqref="S142:T145" name="maria_5_22" securityDescriptor="O:WDG:WDD:(A;;CC;;;S-1-5-21-3048853270-2157241324-869001692-3245)(A;;CC;;;S-1-5-21-3048853270-2157241324-869001692-1007)"/>
    <protectedRange sqref="V142:W145" name="maria_5_23" securityDescriptor="O:WDG:WDD:(A;;CC;;;S-1-5-21-3048853270-2157241324-869001692-3245)(A;;CC;;;S-1-5-21-3048853270-2157241324-869001692-1007)"/>
    <protectedRange sqref="E324:E326 E184 E171:E173" name="maria_5_24" securityDescriptor="O:WDG:WDD:(A;;CC;;;S-1-5-21-3048853270-2157241324-869001692-3245)(A;;CC;;;S-1-5-21-3048853270-2157241324-869001692-1007)"/>
    <protectedRange sqref="Q324:Q325 Q328" name="maria_1_5_8" securityDescriptor="O:WDG:WDD:(A;;CC;;;S-1-5-21-3048853270-2157241324-869001692-3245)(A;;CC;;;S-1-5-21-3048853270-2157241324-869001692-1007)"/>
    <protectedRange sqref="E434:E435" name="maria_5_25" securityDescriptor="O:WDG:WDD:(A;;CC;;;S-1-5-21-3048853270-2157241324-869001692-3245)(A;;CC;;;S-1-5-21-3048853270-2157241324-869001692-1007)"/>
    <protectedRange sqref="Q434:Q438" name="maria_1_5_9" securityDescriptor="O:WDG:WDD:(A;;CC;;;S-1-5-21-3048853270-2157241324-869001692-3245)(A;;CC;;;S-1-5-21-3048853270-2157241324-869001692-1007)"/>
    <protectedRange sqref="E183 E168:E170" name="maria_5_26" securityDescriptor="O:WDG:WDD:(A;;CC;;;S-1-5-21-3048853270-2157241324-869001692-3245)(A;;CC;;;S-1-5-21-3048853270-2157241324-869001692-1007)"/>
    <protectedRange sqref="Q183" name="maria_1_5_10" securityDescriptor="O:WDG:WDD:(A;;CC;;;S-1-5-21-3048853270-2157241324-869001692-3245)(A;;CC;;;S-1-5-21-3048853270-2157241324-869001692-1007)"/>
    <protectedRange sqref="E153:E156" name="maria_5_27" securityDescriptor="O:WDG:WDD:(A;;CC;;;S-1-5-21-3048853270-2157241324-869001692-3245)(A;;CC;;;S-1-5-21-3048853270-2157241324-869001692-1007)"/>
    <protectedRange sqref="P153:Q156 P160:Q162"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7:F57 I57:K61 F58:F61 B57:C61" name="maria_5_29" securityDescriptor="O:WDG:WDD:(A;;CC;;;S-1-5-21-3048853270-2157241324-869001692-3245)(A;;CC;;;S-1-5-21-3048853270-2157241324-869001692-1007)"/>
    <protectedRange sqref="M57:M61 O54:O61" name="maria_5_30" securityDescriptor="O:WDG:WDD:(A;;CC;;;S-1-5-21-3048853270-2157241324-869001692-3245)(A;;CC;;;S-1-5-21-3048853270-2157241324-869001692-1007)"/>
    <protectedRange sqref="P57:Q61" name="maria_1_5_12" securityDescriptor="O:WDG:WDD:(A;;CC;;;S-1-5-21-3048853270-2157241324-869001692-3245)(A;;CC;;;S-1-5-21-3048853270-2157241324-869001692-1007)"/>
    <protectedRange sqref="S57:T61" name="maria_5_31" securityDescriptor="O:WDG:WDD:(A;;CC;;;S-1-5-21-3048853270-2157241324-869001692-3245)(A;;CC;;;S-1-5-21-3048853270-2157241324-869001692-1007)"/>
    <protectedRange sqref="V57:W61" name="maria_5_32" securityDescriptor="O:WDG:WDD:(A;;CC;;;S-1-5-21-3048853270-2157241324-869001692-3245)(A;;CC;;;S-1-5-21-3048853270-2157241324-869001692-1007)"/>
    <protectedRange sqref="Y57:Z61" name="maria_5_33" securityDescriptor="O:WDG:WDD:(A;;CC;;;S-1-5-21-3048853270-2157241324-869001692-3245)(A;;CC;;;S-1-5-21-3048853270-2157241324-869001692-1007)"/>
    <protectedRange sqref="E340:E343" name="maria_5_34" securityDescriptor="O:WDG:WDD:(A;;CC;;;S-1-5-21-3048853270-2157241324-869001692-3245)(A;;CC;;;S-1-5-21-3048853270-2157241324-869001692-1007)"/>
    <protectedRange sqref="Q340:Q341 Q343:Q345" name="maria_1_5_13" securityDescriptor="O:WDG:WDD:(A;;CC;;;S-1-5-21-3048853270-2157241324-869001692-3245)(A;;CC;;;S-1-5-21-3048853270-2157241324-869001692-1007)"/>
    <protectedRange sqref="E74:E75 E158 E43 E137 E19 E25 E52 E58:E59 E84:E88" name="maria_5_35" securityDescriptor="O:WDG:WDD:(A;;CC;;;S-1-5-21-3048853270-2157241324-869001692-3245)(A;;CC;;;S-1-5-21-3048853270-2157241324-869001692-1007)"/>
    <protectedRange sqref="Q84:Q90" name="maria_1_5_14" securityDescriptor="O:WDG:WDD:(A;;CC;;;S-1-5-21-3048853270-2157241324-869001692-3245)(A;;CC;;;S-1-5-21-3048853270-2157241324-869001692-1007)"/>
    <protectedRange sqref="E356:E359 E368" name="maria_5_36" securityDescriptor="O:WDG:WDD:(A;;CC;;;S-1-5-21-3048853270-2157241324-869001692-3245)(A;;CC;;;S-1-5-21-3048853270-2157241324-869001692-1007)"/>
    <protectedRange sqref="P356:Q363" name="maria_1_5_15" securityDescriptor="O:WDG:WDD:(A;;CC;;;S-1-5-21-3048853270-2157241324-869001692-3245)(A;;CC;;;S-1-5-21-3048853270-2157241324-869001692-1007)"/>
    <protectedRange sqref="E271:E272" name="maria_5_38" securityDescriptor="O:WDG:WDD:(A;;CC;;;S-1-5-21-3048853270-2157241324-869001692-3245)(A;;CC;;;S-1-5-21-3048853270-2157241324-869001692-1007)"/>
    <protectedRange sqref="P271:Q274" name="maria_1_5_16" securityDescriptor="O:WDG:WDD:(A;;CC;;;S-1-5-21-3048853270-2157241324-869001692-3245)(A;;CC;;;S-1-5-21-3048853270-2157241324-869001692-1007)"/>
    <protectedRange sqref="E223 E303 E292 E68:E69 E267:E269 E179 E26 E53 E198 E214 E185:E187 E109:E112 E159:E162 E369:E373 E445:E447 E309:E311 E33 E425 E174:E177 E379:E382 E284:E286 E145 E344:E345 E44:E45 E138 E273:E274 E386:E415 E327:E328 E247:E256 E360:E363 E231:E233 E437:E438 E89:E91 E279 E60:E61 E114 E205:E207" name="maria_5_37" securityDescriptor="O:WDG:WDD:(A;;CC;;;S-1-5-21-3048853270-2157241324-869001692-3245)(A;;CC;;;S-1-5-21-3048853270-2157241324-869001692-1007)"/>
    <protectedRange sqref="Q379:Q380" name="maria_1_5_17" securityDescriptor="O:WDG:WDD:(A;;CC;;;S-1-5-21-3048853270-2157241324-869001692-3245)(A;;CC;;;S-1-5-21-3048853270-2157241324-869001692-1007)"/>
    <protectedRange sqref="G197:G198" name="maria_3" securityDescriptor="O:WDG:WDD:(A;;CC;;;S-1-5-21-3048853270-2157241324-869001692-3245)(A;;CC;;;S-1-5-21-3048853270-2157241324-869001692-1007)"/>
    <protectedRange sqref="E197:F197 I197:I198 F198" name="maria_5_39" securityDescriptor="O:WDG:WDD:(A;;CC;;;S-1-5-21-3048853270-2157241324-869001692-3245)(A;;CC;;;S-1-5-21-3048853270-2157241324-869001692-1007)"/>
    <protectedRange sqref="J197:K198" name="maria_5_40" securityDescriptor="O:WDG:WDD:(A;;CC;;;S-1-5-21-3048853270-2157241324-869001692-3245)(A;;CC;;;S-1-5-21-3048853270-2157241324-869001692-1007)"/>
    <protectedRange sqref="Q197:Q198" name="maria_1_5_18" securityDescriptor="O:WDG:WDD:(A;;CC;;;S-1-5-21-3048853270-2157241324-869001692-3245)(A;;CC;;;S-1-5-21-3048853270-2157241324-869001692-1007)"/>
    <protectedRange sqref="S197:T198" name="maria_5_41" securityDescriptor="O:WDG:WDD:(A;;CC;;;S-1-5-21-3048853270-2157241324-869001692-3245)(A;;CC;;;S-1-5-21-3048853270-2157241324-869001692-1007)"/>
    <protectedRange sqref="V197:W198" name="maria_5_42" securityDescriptor="O:WDG:WDD:(A;;CC;;;S-1-5-21-3048853270-2157241324-869001692-3245)(A;;CC;;;S-1-5-21-3048853270-2157241324-869001692-1007)"/>
    <protectedRange sqref="Y197:Z198" name="maria_5_43" securityDescriptor="O:WDG:WDD:(A;;CC;;;S-1-5-21-3048853270-2157241324-869001692-3245)(A;;CC;;;S-1-5-21-3048853270-2157241324-869001692-1007)"/>
    <protectedRange sqref="F157:F162 I157:I162 B157:C162" name="maria_5_44" securityDescriptor="O:WDG:WDD:(A;;CC;;;S-1-5-21-3048853270-2157241324-869001692-3245)(A;;CC;;;S-1-5-21-3048853270-2157241324-869001692-1007)"/>
    <protectedRange sqref="E157" name="maria_5_2_1" securityDescriptor="O:WDG:WDD:(A;;CC;;;S-1-5-21-3048853270-2157241324-869001692-3245)(A;;CC;;;S-1-5-21-3048853270-2157241324-869001692-1007)"/>
    <protectedRange sqref="J157:K162" name="maria_5_45" securityDescriptor="O:WDG:WDD:(A;;CC;;;S-1-5-21-3048853270-2157241324-869001692-3245)(A;;CC;;;S-1-5-21-3048853270-2157241324-869001692-1007)"/>
    <protectedRange sqref="P157:Q158" name="maria_1_5_19" securityDescriptor="O:WDG:WDD:(A;;CC;;;S-1-5-21-3048853270-2157241324-869001692-3245)(A;;CC;;;S-1-5-21-3048853270-2157241324-869001692-1007)"/>
    <protectedRange sqref="B853:C853 F853 I853" name="maria_5_47" securityDescriptor="O:WDG:WDD:(A;;CC;;;S-1-5-21-3048853270-2157241324-869001692-3245)(A;;CC;;;S-1-5-21-3048853270-2157241324-869001692-1007)"/>
    <protectedRange sqref="J853:K893" name="maria_5_48" securityDescriptor="O:WDG:WDD:(A;;CC;;;S-1-5-21-3048853270-2157241324-869001692-3245)(A;;CC;;;S-1-5-21-3048853270-2157241324-869001692-1007)"/>
    <protectedRange sqref="Q853:Q893" name="maria_1_5_20" securityDescriptor="O:WDG:WDD:(A;;CC;;;S-1-5-21-3048853270-2157241324-869001692-3245)(A;;CC;;;S-1-5-21-3048853270-2157241324-869001692-1007)"/>
    <protectedRange sqref="S853:T853" name="maria_5_49" securityDescriptor="O:WDG:WDD:(A;;CC;;;S-1-5-21-3048853270-2157241324-869001692-3245)(A;;CC;;;S-1-5-21-3048853270-2157241324-869001692-1007)"/>
    <protectedRange sqref="Y853:Z853" name="maria_5_50" securityDescriptor="O:WDG:WDD:(A;;CC;;;S-1-5-21-3048853270-2157241324-869001692-3245)(A;;CC;;;S-1-5-21-3048853270-2157241324-869001692-1007)"/>
    <protectedRange sqref="G867:G868 G870:G883 G729 G784 G764 G641 G605 G885:G893" name="maria_90" securityDescriptor="O:WDG:WDD:(A;;CC;;;S-1-5-21-3048853270-2157241324-869001692-3245)(A;;CC;;;S-1-5-21-3048853270-2157241324-869001692-1007)"/>
    <protectedRange sqref="I867:I893 F867:F893" name="maria_5_51" securityDescriptor="O:WDG:WDD:(A;;CC;;;S-1-5-21-3048853270-2157241324-869001692-3245)(A;;CC;;;S-1-5-21-3048853270-2157241324-869001692-1007)"/>
    <protectedRange sqref="Z897" name="maria_94" securityDescriptor="O:WDG:WDD:(A;;CC;;;S-1-5-21-3048853270-2157241324-869001692-3245)(A;;CC;;;S-1-5-21-3048853270-2157241324-869001692-1007)"/>
    <protectedRange sqref="Y897" name="maria_94_1" securityDescriptor="O:WDG:WDD:(A;;CC;;;S-1-5-21-3048853270-2157241324-869001692-3245)(A;;CC;;;S-1-5-21-3048853270-2157241324-869001692-1007)"/>
  </protectedRanges>
  <sortState xmlns:xlrd2="http://schemas.microsoft.com/office/spreadsheetml/2017/richdata2" ref="A4:AJ126">
    <sortCondition descending="1" ref="D4:D51"/>
    <sortCondition ref="C4:C51"/>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8B620D7E-7878-4E67-AE11-16A578728ADD}">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39E93B18-6570-4AF8-9780-C5BDA6CBD7FD}"/>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5732A9A7-3FDB-4B8F-9420-517A8C215DB9}">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9CD976C9-E603-4E43-B076-0B62865C2E1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10917D35-4FFF-4909-A6D8-7A6967A6F92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1D215F09-DB6B-49DE-A15A-305FD7D59988}"/>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9126E38F-1EA2-4334-A9C7-744F51AA3940}"/>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3F0BF6DA-3CD6-4965-847C-63EDC29EE24B}"/>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C6B0F910-98D8-4D74-8F27-18A26AB0E737}">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AB0DB69E-D8A1-4BF5-BBB7-CDB5E6269323}">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59B47485-4AB5-49EB-AB9D-EB9C54D5332A}">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0D894E7C-5767-4F9B-BD33-C01AC272122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D4637F5B-0D8A-4E5D-8288-7302642C9FB7}"/>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D429E160-B0D3-47D5-BD67-6F07762E9CE8}"/>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E27860C4-AF87-45B4-9329-8FACC684C04C}"/>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5C5632FC-D233-498B-A171-B1BAF9659E7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6060E668-EA2F-4F41-88F7-7BBDB13AD1FF}">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26005D3B-ED3C-42FE-99F2-0794C172050B}">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D74122C2-37F7-43E1-A66B-3A8286F96D6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2823A9CC-469B-4A5B-ACA2-C8F02160B65C}">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99023790-0E77-4AD2-9C70-FDF72417250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43ACB038-374D-43D5-85C8-22A9475D031D}"/>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B15CDF95-151A-4826-BCBC-6DB4D1EB82C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FC37508E-9924-47BD-BE7E-E7DDC6EA44B8}">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D8A4482-9021-4DE0-9B67-A797EF469996}">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378403ED-6B73-438D-BEFF-E7F419848C4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683BFA4F-35B2-49F4-B68A-0512015B30BD}"/>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E3F4EC03-CBD1-4059-911D-860434C7664B}">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1"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2022-11-09T12:08:19Z</dcterms:modified>
</cp:coreProperties>
</file>